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4E0\"/>
    </mc:Choice>
  </mc:AlternateContent>
  <bookViews>
    <workbookView xWindow="0" yWindow="0" windowWidth="19305" windowHeight="8085" activeTab="5"/>
  </bookViews>
  <sheets>
    <sheet name="CT19E" sheetId="7" r:id="rId1"/>
    <sheet name="CT20E" sheetId="8" r:id="rId2"/>
    <sheet name="CT21E" sheetId="9" r:id="rId3"/>
    <sheet name="CT22E" sheetId="10" r:id="rId4"/>
    <sheet name="CT23E" sheetId="11" r:id="rId5"/>
    <sheet name="CT24E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  <c r="X24" i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F21" i="1"/>
  <c r="F20" i="1"/>
  <c r="F19" i="1"/>
  <c r="F18" i="1"/>
  <c r="F17" i="1"/>
  <c r="H17" i="1" s="1"/>
  <c r="F16" i="1"/>
  <c r="F15" i="1"/>
  <c r="F14" i="1"/>
  <c r="F13" i="1"/>
  <c r="H13" i="1" s="1"/>
  <c r="F12" i="1"/>
  <c r="F11" i="1"/>
  <c r="F10" i="1"/>
  <c r="F9" i="1"/>
  <c r="H9" i="1" s="1"/>
  <c r="F8" i="1"/>
  <c r="F7" i="1"/>
  <c r="F6" i="1"/>
  <c r="F5" i="1"/>
  <c r="H5" i="1" s="1"/>
  <c r="F4" i="1"/>
  <c r="F3" i="1"/>
  <c r="F2" i="1"/>
  <c r="H7" i="1" l="1"/>
  <c r="H4" i="1"/>
  <c r="H8" i="1"/>
  <c r="H12" i="1"/>
  <c r="H16" i="1"/>
  <c r="H20" i="1"/>
  <c r="H3" i="1"/>
  <c r="H19" i="1"/>
  <c r="H2" i="1"/>
  <c r="H10" i="1"/>
  <c r="H22" i="1"/>
  <c r="H15" i="1"/>
  <c r="H21" i="1"/>
  <c r="H11" i="1"/>
  <c r="H6" i="1"/>
  <c r="H14" i="1"/>
  <c r="H18" i="1"/>
  <c r="AA21" i="1" l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5" i="1" l="1"/>
  <c r="AB21" i="1"/>
  <c r="AB10" i="1"/>
  <c r="AB9" i="1"/>
  <c r="AB17" i="1"/>
  <c r="AB6" i="1"/>
  <c r="AB18" i="1"/>
  <c r="AB7" i="1"/>
  <c r="AB11" i="1"/>
  <c r="AB15" i="1"/>
  <c r="AB19" i="1"/>
  <c r="AB13" i="1"/>
  <c r="AB2" i="1"/>
  <c r="AB14" i="1"/>
  <c r="AB3" i="1"/>
  <c r="AB4" i="1"/>
  <c r="AB8" i="1"/>
  <c r="AB12" i="1"/>
  <c r="AB16" i="1"/>
  <c r="AB20" i="1"/>
  <c r="F22" i="11"/>
  <c r="E22" i="11"/>
  <c r="F21" i="11"/>
  <c r="E21" i="11"/>
  <c r="F20" i="11"/>
  <c r="E20" i="11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G8" i="11"/>
  <c r="J8" i="11" s="1"/>
  <c r="N8" i="11" s="1"/>
  <c r="F8" i="11"/>
  <c r="E8" i="11"/>
  <c r="F7" i="11"/>
  <c r="E7" i="11"/>
  <c r="F6" i="11"/>
  <c r="E6" i="11"/>
  <c r="F5" i="11"/>
  <c r="E5" i="11"/>
  <c r="G4" i="11"/>
  <c r="J4" i="11" s="1"/>
  <c r="N4" i="11" s="1"/>
  <c r="F4" i="11"/>
  <c r="E4" i="11"/>
  <c r="S3" i="11"/>
  <c r="F3" i="11"/>
  <c r="E3" i="11"/>
  <c r="F2" i="11"/>
  <c r="G2" i="11" s="1"/>
  <c r="E2" i="11"/>
  <c r="F22" i="10"/>
  <c r="E22" i="10"/>
  <c r="F21" i="10"/>
  <c r="E21" i="10"/>
  <c r="G20" i="10"/>
  <c r="J20" i="10" s="1"/>
  <c r="N20" i="10" s="1"/>
  <c r="F20" i="10"/>
  <c r="E20" i="10"/>
  <c r="F19" i="10"/>
  <c r="E19" i="10"/>
  <c r="F18" i="10"/>
  <c r="E18" i="10"/>
  <c r="F17" i="10"/>
  <c r="E17" i="10"/>
  <c r="G16" i="10"/>
  <c r="J16" i="10" s="1"/>
  <c r="N16" i="10" s="1"/>
  <c r="F16" i="10"/>
  <c r="E16" i="10"/>
  <c r="F15" i="10"/>
  <c r="E15" i="10"/>
  <c r="F14" i="10"/>
  <c r="E14" i="10"/>
  <c r="F13" i="10"/>
  <c r="E13" i="10"/>
  <c r="G12" i="10"/>
  <c r="J12" i="10" s="1"/>
  <c r="N12" i="10" s="1"/>
  <c r="F12" i="10"/>
  <c r="E12" i="10"/>
  <c r="F11" i="10"/>
  <c r="E11" i="10"/>
  <c r="F10" i="10"/>
  <c r="E10" i="10"/>
  <c r="F9" i="10"/>
  <c r="E9" i="10"/>
  <c r="G8" i="10"/>
  <c r="J8" i="10" s="1"/>
  <c r="N8" i="10" s="1"/>
  <c r="F8" i="10"/>
  <c r="E8" i="10"/>
  <c r="F7" i="10"/>
  <c r="E7" i="10"/>
  <c r="F6" i="10"/>
  <c r="E6" i="10"/>
  <c r="F5" i="10"/>
  <c r="E5" i="10"/>
  <c r="G4" i="10"/>
  <c r="J4" i="10" s="1"/>
  <c r="N4" i="10" s="1"/>
  <c r="F4" i="10"/>
  <c r="E4" i="10"/>
  <c r="S3" i="10"/>
  <c r="G21" i="10" s="1"/>
  <c r="J21" i="10" s="1"/>
  <c r="N21" i="10" s="1"/>
  <c r="G3" i="10"/>
  <c r="J3" i="10" s="1"/>
  <c r="N3" i="10" s="1"/>
  <c r="F3" i="10"/>
  <c r="E3" i="10"/>
  <c r="F2" i="10"/>
  <c r="E2" i="10"/>
  <c r="F22" i="9"/>
  <c r="E22" i="9"/>
  <c r="F21" i="9"/>
  <c r="E21" i="9"/>
  <c r="G20" i="9"/>
  <c r="F20" i="9"/>
  <c r="E20" i="9"/>
  <c r="J20" i="9" s="1"/>
  <c r="N20" i="9" s="1"/>
  <c r="F19" i="9"/>
  <c r="E19" i="9"/>
  <c r="F18" i="9"/>
  <c r="E18" i="9"/>
  <c r="F17" i="9"/>
  <c r="E17" i="9"/>
  <c r="G16" i="9"/>
  <c r="F16" i="9"/>
  <c r="E16" i="9"/>
  <c r="J16" i="9" s="1"/>
  <c r="N16" i="9" s="1"/>
  <c r="F15" i="9"/>
  <c r="E15" i="9"/>
  <c r="F14" i="9"/>
  <c r="E14" i="9"/>
  <c r="F13" i="9"/>
  <c r="E13" i="9"/>
  <c r="G12" i="9"/>
  <c r="F12" i="9"/>
  <c r="E12" i="9"/>
  <c r="J12" i="9" s="1"/>
  <c r="N12" i="9" s="1"/>
  <c r="F11" i="9"/>
  <c r="E11" i="9"/>
  <c r="F10" i="9"/>
  <c r="E10" i="9"/>
  <c r="F9" i="9"/>
  <c r="E9" i="9"/>
  <c r="G8" i="9"/>
  <c r="F8" i="9"/>
  <c r="E8" i="9"/>
  <c r="J8" i="9" s="1"/>
  <c r="N8" i="9" s="1"/>
  <c r="F7" i="9"/>
  <c r="E7" i="9"/>
  <c r="F6" i="9"/>
  <c r="E6" i="9"/>
  <c r="F5" i="9"/>
  <c r="E5" i="9"/>
  <c r="G4" i="9"/>
  <c r="F4" i="9"/>
  <c r="E4" i="9"/>
  <c r="J4" i="9" s="1"/>
  <c r="N4" i="9" s="1"/>
  <c r="S3" i="9"/>
  <c r="G21" i="9" s="1"/>
  <c r="J21" i="9" s="1"/>
  <c r="N21" i="9" s="1"/>
  <c r="G3" i="9"/>
  <c r="J3" i="9" s="1"/>
  <c r="N3" i="9" s="1"/>
  <c r="F3" i="9"/>
  <c r="E3" i="9"/>
  <c r="F2" i="9"/>
  <c r="G2" i="9" s="1"/>
  <c r="J2" i="9" s="1"/>
  <c r="N2" i="9" s="1"/>
  <c r="E2" i="9"/>
  <c r="F22" i="8"/>
  <c r="E22" i="8"/>
  <c r="F21" i="8"/>
  <c r="E21" i="8"/>
  <c r="G20" i="8"/>
  <c r="J20" i="8" s="1"/>
  <c r="N20" i="8" s="1"/>
  <c r="F20" i="8"/>
  <c r="E20" i="8"/>
  <c r="F19" i="8"/>
  <c r="E19" i="8"/>
  <c r="F18" i="8"/>
  <c r="E18" i="8"/>
  <c r="F17" i="8"/>
  <c r="E17" i="8"/>
  <c r="G16" i="8"/>
  <c r="J16" i="8" s="1"/>
  <c r="N16" i="8" s="1"/>
  <c r="F16" i="8"/>
  <c r="E16" i="8"/>
  <c r="F15" i="8"/>
  <c r="E15" i="8"/>
  <c r="F14" i="8"/>
  <c r="E14" i="8"/>
  <c r="F13" i="8"/>
  <c r="E13" i="8"/>
  <c r="G12" i="8"/>
  <c r="J12" i="8" s="1"/>
  <c r="N12" i="8" s="1"/>
  <c r="F12" i="8"/>
  <c r="E12" i="8"/>
  <c r="F11" i="8"/>
  <c r="E11" i="8"/>
  <c r="F10" i="8"/>
  <c r="E10" i="8"/>
  <c r="F9" i="8"/>
  <c r="E9" i="8"/>
  <c r="G8" i="8"/>
  <c r="J8" i="8" s="1"/>
  <c r="N8" i="8" s="1"/>
  <c r="F8" i="8"/>
  <c r="E8" i="8"/>
  <c r="F7" i="8"/>
  <c r="E7" i="8"/>
  <c r="F6" i="8"/>
  <c r="E6" i="8"/>
  <c r="F5" i="8"/>
  <c r="E5" i="8"/>
  <c r="G4" i="8"/>
  <c r="J4" i="8" s="1"/>
  <c r="N4" i="8" s="1"/>
  <c r="F4" i="8"/>
  <c r="E4" i="8"/>
  <c r="S3" i="8"/>
  <c r="G21" i="8" s="1"/>
  <c r="J21" i="8" s="1"/>
  <c r="N21" i="8" s="1"/>
  <c r="G3" i="8"/>
  <c r="J3" i="8" s="1"/>
  <c r="N3" i="8" s="1"/>
  <c r="F3" i="8"/>
  <c r="E3" i="8"/>
  <c r="F2" i="8"/>
  <c r="E2" i="8"/>
  <c r="F22" i="7"/>
  <c r="E22" i="7"/>
  <c r="F21" i="7"/>
  <c r="E21" i="7"/>
  <c r="G20" i="7"/>
  <c r="F20" i="7"/>
  <c r="E20" i="7"/>
  <c r="J20" i="7" s="1"/>
  <c r="N20" i="7" s="1"/>
  <c r="F19" i="7"/>
  <c r="E19" i="7"/>
  <c r="F18" i="7"/>
  <c r="E18" i="7"/>
  <c r="F17" i="7"/>
  <c r="E17" i="7"/>
  <c r="G16" i="7"/>
  <c r="F16" i="7"/>
  <c r="E16" i="7"/>
  <c r="J16" i="7" s="1"/>
  <c r="N16" i="7" s="1"/>
  <c r="F15" i="7"/>
  <c r="E15" i="7"/>
  <c r="F14" i="7"/>
  <c r="E14" i="7"/>
  <c r="F13" i="7"/>
  <c r="E13" i="7"/>
  <c r="G12" i="7"/>
  <c r="F12" i="7"/>
  <c r="E12" i="7"/>
  <c r="J12" i="7" s="1"/>
  <c r="N12" i="7" s="1"/>
  <c r="F11" i="7"/>
  <c r="E11" i="7"/>
  <c r="F10" i="7"/>
  <c r="E10" i="7"/>
  <c r="F9" i="7"/>
  <c r="E9" i="7"/>
  <c r="G8" i="7"/>
  <c r="F8" i="7"/>
  <c r="E8" i="7"/>
  <c r="J8" i="7" s="1"/>
  <c r="N8" i="7" s="1"/>
  <c r="F7" i="7"/>
  <c r="E7" i="7"/>
  <c r="G6" i="7"/>
  <c r="F6" i="7"/>
  <c r="E6" i="7"/>
  <c r="J6" i="7" s="1"/>
  <c r="N6" i="7" s="1"/>
  <c r="F5" i="7"/>
  <c r="E5" i="7"/>
  <c r="G4" i="7"/>
  <c r="F4" i="7"/>
  <c r="E4" i="7"/>
  <c r="J4" i="7" s="1"/>
  <c r="N4" i="7" s="1"/>
  <c r="S3" i="7"/>
  <c r="G21" i="7" s="1"/>
  <c r="J21" i="7" s="1"/>
  <c r="N21" i="7" s="1"/>
  <c r="G3" i="7"/>
  <c r="F3" i="7"/>
  <c r="E3" i="7"/>
  <c r="J3" i="7" s="1"/>
  <c r="N3" i="7" s="1"/>
  <c r="F2" i="7"/>
  <c r="G2" i="7" s="1"/>
  <c r="J2" i="7" s="1"/>
  <c r="N2" i="7" s="1"/>
  <c r="E2" i="7"/>
  <c r="P4" i="11" l="1"/>
  <c r="K4" i="11"/>
  <c r="M4" i="11" s="1"/>
  <c r="L4" i="11" s="1"/>
  <c r="P8" i="11"/>
  <c r="K8" i="11"/>
  <c r="M8" i="11" s="1"/>
  <c r="L8" i="11" s="1"/>
  <c r="G21" i="11"/>
  <c r="J21" i="11" s="1"/>
  <c r="N21" i="11" s="1"/>
  <c r="G17" i="11"/>
  <c r="J17" i="11" s="1"/>
  <c r="N17" i="11" s="1"/>
  <c r="G13" i="11"/>
  <c r="J13" i="11" s="1"/>
  <c r="N13" i="11" s="1"/>
  <c r="G9" i="11"/>
  <c r="J9" i="11" s="1"/>
  <c r="N9" i="11" s="1"/>
  <c r="G22" i="11"/>
  <c r="J22" i="11" s="1"/>
  <c r="N22" i="11" s="1"/>
  <c r="K22" i="11" s="1"/>
  <c r="M22" i="11" s="1"/>
  <c r="L22" i="11" s="1"/>
  <c r="G18" i="11"/>
  <c r="J18" i="11" s="1"/>
  <c r="N18" i="11" s="1"/>
  <c r="G14" i="11"/>
  <c r="J14" i="11" s="1"/>
  <c r="N14" i="11" s="1"/>
  <c r="G10" i="11"/>
  <c r="G6" i="11"/>
  <c r="J6" i="11" s="1"/>
  <c r="N6" i="11" s="1"/>
  <c r="G19" i="11"/>
  <c r="J19" i="11" s="1"/>
  <c r="N19" i="11" s="1"/>
  <c r="G15" i="11"/>
  <c r="J15" i="11" s="1"/>
  <c r="N15" i="11" s="1"/>
  <c r="G11" i="11"/>
  <c r="G7" i="11"/>
  <c r="J7" i="11" s="1"/>
  <c r="N7" i="11" s="1"/>
  <c r="G5" i="11"/>
  <c r="J5" i="11" s="1"/>
  <c r="N5" i="11" s="1"/>
  <c r="G12" i="11"/>
  <c r="J12" i="11" s="1"/>
  <c r="N12" i="11" s="1"/>
  <c r="G3" i="11"/>
  <c r="J3" i="11" s="1"/>
  <c r="N3" i="11" s="1"/>
  <c r="G16" i="11"/>
  <c r="J16" i="11" s="1"/>
  <c r="N16" i="11" s="1"/>
  <c r="J2" i="11"/>
  <c r="N2" i="11" s="1"/>
  <c r="J10" i="11"/>
  <c r="N10" i="11" s="1"/>
  <c r="J11" i="11"/>
  <c r="N11" i="11" s="1"/>
  <c r="G20" i="11"/>
  <c r="J20" i="11" s="1"/>
  <c r="N20" i="11" s="1"/>
  <c r="J7" i="10"/>
  <c r="N7" i="10" s="1"/>
  <c r="P20" i="10"/>
  <c r="K20" i="10"/>
  <c r="M20" i="10" s="1"/>
  <c r="L20" i="10" s="1"/>
  <c r="J2" i="10"/>
  <c r="N2" i="10" s="1"/>
  <c r="P4" i="10"/>
  <c r="K4" i="10"/>
  <c r="M4" i="10" s="1"/>
  <c r="L4" i="10" s="1"/>
  <c r="P8" i="10"/>
  <c r="K8" i="10"/>
  <c r="M8" i="10" s="1"/>
  <c r="L8" i="10" s="1"/>
  <c r="P21" i="10"/>
  <c r="K21" i="10"/>
  <c r="M21" i="10" s="1"/>
  <c r="L21" i="10" s="1"/>
  <c r="P12" i="10"/>
  <c r="K12" i="10"/>
  <c r="M12" i="10" s="1"/>
  <c r="L12" i="10" s="1"/>
  <c r="J18" i="10"/>
  <c r="N18" i="10" s="1"/>
  <c r="P3" i="10"/>
  <c r="K3" i="10"/>
  <c r="M3" i="10" s="1"/>
  <c r="L3" i="10" s="1"/>
  <c r="P16" i="10"/>
  <c r="K16" i="10"/>
  <c r="M16" i="10" s="1"/>
  <c r="L16" i="10" s="1"/>
  <c r="J22" i="10"/>
  <c r="N22" i="10" s="1"/>
  <c r="K22" i="10" s="1"/>
  <c r="M22" i="10" s="1"/>
  <c r="L22" i="10" s="1"/>
  <c r="G2" i="10"/>
  <c r="G7" i="10"/>
  <c r="G6" i="10"/>
  <c r="J6" i="10" s="1"/>
  <c r="N6" i="10" s="1"/>
  <c r="G10" i="10"/>
  <c r="J10" i="10" s="1"/>
  <c r="N10" i="10" s="1"/>
  <c r="G14" i="10"/>
  <c r="J14" i="10" s="1"/>
  <c r="N14" i="10" s="1"/>
  <c r="G18" i="10"/>
  <c r="G22" i="10"/>
  <c r="G11" i="10"/>
  <c r="J11" i="10" s="1"/>
  <c r="N11" i="10" s="1"/>
  <c r="G15" i="10"/>
  <c r="J15" i="10" s="1"/>
  <c r="N15" i="10" s="1"/>
  <c r="G19" i="10"/>
  <c r="J19" i="10" s="1"/>
  <c r="N19" i="10" s="1"/>
  <c r="G5" i="10"/>
  <c r="J5" i="10" s="1"/>
  <c r="N5" i="10" s="1"/>
  <c r="G9" i="10"/>
  <c r="J9" i="10" s="1"/>
  <c r="N9" i="10" s="1"/>
  <c r="G13" i="10"/>
  <c r="J13" i="10" s="1"/>
  <c r="N13" i="10" s="1"/>
  <c r="G17" i="10"/>
  <c r="J17" i="10" s="1"/>
  <c r="N17" i="10" s="1"/>
  <c r="J6" i="9"/>
  <c r="N6" i="9" s="1"/>
  <c r="P8" i="9"/>
  <c r="K8" i="9"/>
  <c r="M8" i="9" s="1"/>
  <c r="L8" i="9" s="1"/>
  <c r="P3" i="9"/>
  <c r="K3" i="9"/>
  <c r="M3" i="9" s="1"/>
  <c r="L3" i="9" s="1"/>
  <c r="P12" i="9"/>
  <c r="K12" i="9"/>
  <c r="M12" i="9" s="1"/>
  <c r="L12" i="9" s="1"/>
  <c r="P2" i="9"/>
  <c r="K2" i="9"/>
  <c r="M2" i="9" s="1"/>
  <c r="L2" i="9" s="1"/>
  <c r="P21" i="9"/>
  <c r="K21" i="9"/>
  <c r="M21" i="9" s="1"/>
  <c r="L21" i="9" s="1"/>
  <c r="J7" i="9"/>
  <c r="N7" i="9" s="1"/>
  <c r="P16" i="9"/>
  <c r="K16" i="9"/>
  <c r="M16" i="9" s="1"/>
  <c r="L16" i="9" s="1"/>
  <c r="P4" i="9"/>
  <c r="K4" i="9"/>
  <c r="M4" i="9" s="1"/>
  <c r="L4" i="9" s="1"/>
  <c r="J18" i="9"/>
  <c r="N18" i="9" s="1"/>
  <c r="P20" i="9"/>
  <c r="K20" i="9"/>
  <c r="M20" i="9" s="1"/>
  <c r="L20" i="9" s="1"/>
  <c r="G7" i="9"/>
  <c r="G11" i="9"/>
  <c r="J11" i="9" s="1"/>
  <c r="N11" i="9" s="1"/>
  <c r="G15" i="9"/>
  <c r="J15" i="9" s="1"/>
  <c r="N15" i="9" s="1"/>
  <c r="G19" i="9"/>
  <c r="J19" i="9" s="1"/>
  <c r="N19" i="9" s="1"/>
  <c r="G6" i="9"/>
  <c r="G10" i="9"/>
  <c r="J10" i="9" s="1"/>
  <c r="N10" i="9" s="1"/>
  <c r="G14" i="9"/>
  <c r="J14" i="9" s="1"/>
  <c r="N14" i="9" s="1"/>
  <c r="G18" i="9"/>
  <c r="G22" i="9"/>
  <c r="J22" i="9" s="1"/>
  <c r="N22" i="9" s="1"/>
  <c r="K22" i="9" s="1"/>
  <c r="M22" i="9" s="1"/>
  <c r="L22" i="9" s="1"/>
  <c r="G5" i="9"/>
  <c r="J5" i="9" s="1"/>
  <c r="N5" i="9" s="1"/>
  <c r="G9" i="9"/>
  <c r="J9" i="9" s="1"/>
  <c r="N9" i="9" s="1"/>
  <c r="G13" i="9"/>
  <c r="J13" i="9" s="1"/>
  <c r="N13" i="9" s="1"/>
  <c r="G17" i="9"/>
  <c r="J17" i="9" s="1"/>
  <c r="N17" i="9" s="1"/>
  <c r="P4" i="8"/>
  <c r="K4" i="8"/>
  <c r="M4" i="8" s="1"/>
  <c r="L4" i="8" s="1"/>
  <c r="P8" i="8"/>
  <c r="K8" i="8"/>
  <c r="M8" i="8" s="1"/>
  <c r="L8" i="8" s="1"/>
  <c r="J11" i="8"/>
  <c r="N11" i="8" s="1"/>
  <c r="P3" i="8"/>
  <c r="K3" i="8"/>
  <c r="M3" i="8" s="1"/>
  <c r="L3" i="8" s="1"/>
  <c r="P16" i="8"/>
  <c r="K16" i="8"/>
  <c r="M16" i="8" s="1"/>
  <c r="L16" i="8" s="1"/>
  <c r="K21" i="8"/>
  <c r="M21" i="8" s="1"/>
  <c r="L21" i="8" s="1"/>
  <c r="P21" i="8"/>
  <c r="P12" i="8"/>
  <c r="K12" i="8"/>
  <c r="M12" i="8" s="1"/>
  <c r="L12" i="8" s="1"/>
  <c r="J18" i="8"/>
  <c r="N18" i="8" s="1"/>
  <c r="J6" i="8"/>
  <c r="N6" i="8" s="1"/>
  <c r="P20" i="8"/>
  <c r="K20" i="8"/>
  <c r="M20" i="8" s="1"/>
  <c r="L20" i="8" s="1"/>
  <c r="G19" i="8"/>
  <c r="J19" i="8" s="1"/>
  <c r="N19" i="8" s="1"/>
  <c r="G6" i="8"/>
  <c r="G10" i="8"/>
  <c r="J10" i="8" s="1"/>
  <c r="N10" i="8" s="1"/>
  <c r="G14" i="8"/>
  <c r="J14" i="8" s="1"/>
  <c r="N14" i="8" s="1"/>
  <c r="G18" i="8"/>
  <c r="G22" i="8"/>
  <c r="J22" i="8" s="1"/>
  <c r="N22" i="8" s="1"/>
  <c r="K22" i="8" s="1"/>
  <c r="M22" i="8" s="1"/>
  <c r="L22" i="8" s="1"/>
  <c r="G2" i="8"/>
  <c r="J2" i="8" s="1"/>
  <c r="N2" i="8" s="1"/>
  <c r="G7" i="8"/>
  <c r="J7" i="8" s="1"/>
  <c r="N7" i="8" s="1"/>
  <c r="G11" i="8"/>
  <c r="G15" i="8"/>
  <c r="J15" i="8" s="1"/>
  <c r="N15" i="8" s="1"/>
  <c r="G5" i="8"/>
  <c r="J5" i="8" s="1"/>
  <c r="N5" i="8" s="1"/>
  <c r="G9" i="8"/>
  <c r="J9" i="8" s="1"/>
  <c r="N9" i="8" s="1"/>
  <c r="G13" i="8"/>
  <c r="J13" i="8" s="1"/>
  <c r="N13" i="8" s="1"/>
  <c r="G17" i="8"/>
  <c r="J17" i="8" s="1"/>
  <c r="N17" i="8" s="1"/>
  <c r="P8" i="7"/>
  <c r="K8" i="7"/>
  <c r="M8" i="7" s="1"/>
  <c r="L8" i="7" s="1"/>
  <c r="P2" i="7"/>
  <c r="K2" i="7"/>
  <c r="M2" i="7" s="1"/>
  <c r="L2" i="7" s="1"/>
  <c r="P21" i="7"/>
  <c r="K21" i="7"/>
  <c r="M21" i="7" s="1"/>
  <c r="L21" i="7" s="1"/>
  <c r="J10" i="7"/>
  <c r="N10" i="7" s="1"/>
  <c r="P12" i="7"/>
  <c r="K12" i="7"/>
  <c r="M12" i="7" s="1"/>
  <c r="L12" i="7" s="1"/>
  <c r="P3" i="7"/>
  <c r="K3" i="7"/>
  <c r="M3" i="7" s="1"/>
  <c r="L3" i="7" s="1"/>
  <c r="P4" i="7"/>
  <c r="K4" i="7"/>
  <c r="M4" i="7" s="1"/>
  <c r="L4" i="7" s="1"/>
  <c r="P16" i="7"/>
  <c r="K16" i="7"/>
  <c r="M16" i="7" s="1"/>
  <c r="L16" i="7" s="1"/>
  <c r="P6" i="7"/>
  <c r="K6" i="7"/>
  <c r="M6" i="7" s="1"/>
  <c r="L6" i="7" s="1"/>
  <c r="P20" i="7"/>
  <c r="K20" i="7"/>
  <c r="M20" i="7" s="1"/>
  <c r="L20" i="7" s="1"/>
  <c r="G7" i="7"/>
  <c r="J7" i="7" s="1"/>
  <c r="N7" i="7" s="1"/>
  <c r="G11" i="7"/>
  <c r="J11" i="7" s="1"/>
  <c r="N11" i="7" s="1"/>
  <c r="G15" i="7"/>
  <c r="J15" i="7" s="1"/>
  <c r="N15" i="7" s="1"/>
  <c r="G19" i="7"/>
  <c r="J19" i="7" s="1"/>
  <c r="N19" i="7" s="1"/>
  <c r="G10" i="7"/>
  <c r="G14" i="7"/>
  <c r="J14" i="7" s="1"/>
  <c r="N14" i="7" s="1"/>
  <c r="G18" i="7"/>
  <c r="J18" i="7" s="1"/>
  <c r="N18" i="7" s="1"/>
  <c r="G22" i="7"/>
  <c r="J22" i="7" s="1"/>
  <c r="N22" i="7" s="1"/>
  <c r="K22" i="7" s="1"/>
  <c r="M22" i="7" s="1"/>
  <c r="L22" i="7" s="1"/>
  <c r="G5" i="7"/>
  <c r="J5" i="7" s="1"/>
  <c r="N5" i="7" s="1"/>
  <c r="G9" i="7"/>
  <c r="J9" i="7" s="1"/>
  <c r="N9" i="7" s="1"/>
  <c r="G13" i="7"/>
  <c r="J13" i="7" s="1"/>
  <c r="N13" i="7" s="1"/>
  <c r="G17" i="7"/>
  <c r="J17" i="7" s="1"/>
  <c r="N17" i="7" s="1"/>
  <c r="P19" i="11" l="1"/>
  <c r="K19" i="11"/>
  <c r="M19" i="11" s="1"/>
  <c r="L19" i="11" s="1"/>
  <c r="K18" i="11"/>
  <c r="M18" i="11" s="1"/>
  <c r="L18" i="11" s="1"/>
  <c r="P18" i="11"/>
  <c r="K7" i="11"/>
  <c r="M7" i="11" s="1"/>
  <c r="L7" i="11" s="1"/>
  <c r="P7" i="11"/>
  <c r="P15" i="11"/>
  <c r="K15" i="11"/>
  <c r="M15" i="11" s="1"/>
  <c r="L15" i="11" s="1"/>
  <c r="P14" i="11"/>
  <c r="K14" i="11"/>
  <c r="M14" i="11" s="1"/>
  <c r="L14" i="11" s="1"/>
  <c r="P10" i="11"/>
  <c r="K10" i="11"/>
  <c r="M10" i="11" s="1"/>
  <c r="L10" i="11" s="1"/>
  <c r="P5" i="11"/>
  <c r="K5" i="11"/>
  <c r="M5" i="11" s="1"/>
  <c r="L5" i="11" s="1"/>
  <c r="P17" i="11"/>
  <c r="K17" i="11"/>
  <c r="M17" i="11" s="1"/>
  <c r="L17" i="11" s="1"/>
  <c r="K2" i="11"/>
  <c r="M2" i="11" s="1"/>
  <c r="L2" i="11" s="1"/>
  <c r="P2" i="11"/>
  <c r="P6" i="11"/>
  <c r="K6" i="11"/>
  <c r="M6" i="11" s="1"/>
  <c r="L6" i="11" s="1"/>
  <c r="P21" i="11"/>
  <c r="K21" i="11"/>
  <c r="M21" i="11" s="1"/>
  <c r="L21" i="11" s="1"/>
  <c r="P20" i="11"/>
  <c r="K20" i="11"/>
  <c r="M20" i="11" s="1"/>
  <c r="L20" i="11" s="1"/>
  <c r="P9" i="11"/>
  <c r="K9" i="11"/>
  <c r="M9" i="11" s="1"/>
  <c r="L9" i="11" s="1"/>
  <c r="P3" i="11"/>
  <c r="K3" i="11"/>
  <c r="M3" i="11" s="1"/>
  <c r="L3" i="11" s="1"/>
  <c r="P11" i="11"/>
  <c r="K11" i="11"/>
  <c r="M11" i="11" s="1"/>
  <c r="L11" i="11" s="1"/>
  <c r="P16" i="11"/>
  <c r="K16" i="11"/>
  <c r="M16" i="11" s="1"/>
  <c r="L16" i="11" s="1"/>
  <c r="P12" i="11"/>
  <c r="K12" i="11"/>
  <c r="M12" i="11" s="1"/>
  <c r="L12" i="11" s="1"/>
  <c r="P13" i="11"/>
  <c r="K13" i="11"/>
  <c r="M13" i="11" s="1"/>
  <c r="L13" i="11" s="1"/>
  <c r="P11" i="10"/>
  <c r="K11" i="10"/>
  <c r="M11" i="10" s="1"/>
  <c r="L11" i="10" s="1"/>
  <c r="P10" i="10"/>
  <c r="K10" i="10"/>
  <c r="M10" i="10" s="1"/>
  <c r="L10" i="10" s="1"/>
  <c r="P6" i="10"/>
  <c r="K6" i="10"/>
  <c r="M6" i="10" s="1"/>
  <c r="L6" i="10" s="1"/>
  <c r="P14" i="10"/>
  <c r="K14" i="10"/>
  <c r="M14" i="10" s="1"/>
  <c r="L14" i="10" s="1"/>
  <c r="K9" i="10"/>
  <c r="M9" i="10" s="1"/>
  <c r="L9" i="10" s="1"/>
  <c r="P9" i="10"/>
  <c r="P2" i="10"/>
  <c r="K2" i="10"/>
  <c r="M2" i="10" s="1"/>
  <c r="L2" i="10" s="1"/>
  <c r="P7" i="10"/>
  <c r="K7" i="10"/>
  <c r="M7" i="10" s="1"/>
  <c r="L7" i="10" s="1"/>
  <c r="P5" i="10"/>
  <c r="K5" i="10"/>
  <c r="M5" i="10" s="1"/>
  <c r="L5" i="10" s="1"/>
  <c r="P18" i="10"/>
  <c r="K18" i="10"/>
  <c r="M18" i="10" s="1"/>
  <c r="L18" i="10" s="1"/>
  <c r="K17" i="10"/>
  <c r="M17" i="10" s="1"/>
  <c r="L17" i="10" s="1"/>
  <c r="P17" i="10"/>
  <c r="P19" i="10"/>
  <c r="K19" i="10"/>
  <c r="M19" i="10" s="1"/>
  <c r="L19" i="10" s="1"/>
  <c r="P13" i="10"/>
  <c r="K13" i="10"/>
  <c r="M13" i="10" s="1"/>
  <c r="L13" i="10" s="1"/>
  <c r="P15" i="10"/>
  <c r="K15" i="10"/>
  <c r="M15" i="10" s="1"/>
  <c r="L15" i="10" s="1"/>
  <c r="P14" i="9"/>
  <c r="K14" i="9"/>
  <c r="M14" i="9" s="1"/>
  <c r="L14" i="9" s="1"/>
  <c r="P10" i="9"/>
  <c r="K10" i="9"/>
  <c r="M10" i="9" s="1"/>
  <c r="L10" i="9" s="1"/>
  <c r="P11" i="9"/>
  <c r="K11" i="9"/>
  <c r="M11" i="9" s="1"/>
  <c r="L11" i="9" s="1"/>
  <c r="P9" i="9"/>
  <c r="K9" i="9"/>
  <c r="M9" i="9" s="1"/>
  <c r="L9" i="9" s="1"/>
  <c r="P15" i="9"/>
  <c r="K15" i="9"/>
  <c r="M15" i="9" s="1"/>
  <c r="L15" i="9" s="1"/>
  <c r="P7" i="9"/>
  <c r="K7" i="9"/>
  <c r="M7" i="9" s="1"/>
  <c r="L7" i="9" s="1"/>
  <c r="Q4" i="9"/>
  <c r="R4" i="9" s="1"/>
  <c r="Q3" i="9"/>
  <c r="R3" i="9" s="1"/>
  <c r="Q2" i="9"/>
  <c r="R2" i="9" s="1"/>
  <c r="P5" i="9"/>
  <c r="Q12" i="9" s="1"/>
  <c r="R12" i="9" s="1"/>
  <c r="K5" i="9"/>
  <c r="M5" i="9" s="1"/>
  <c r="L5" i="9" s="1"/>
  <c r="P18" i="9"/>
  <c r="K18" i="9"/>
  <c r="M18" i="9" s="1"/>
  <c r="L18" i="9" s="1"/>
  <c r="K6" i="9"/>
  <c r="M6" i="9" s="1"/>
  <c r="L6" i="9" s="1"/>
  <c r="P6" i="9"/>
  <c r="Q16" i="9" s="1"/>
  <c r="R16" i="9" s="1"/>
  <c r="P17" i="9"/>
  <c r="K17" i="9"/>
  <c r="M17" i="9" s="1"/>
  <c r="L17" i="9" s="1"/>
  <c r="P13" i="9"/>
  <c r="K13" i="9"/>
  <c r="M13" i="9" s="1"/>
  <c r="L13" i="9" s="1"/>
  <c r="P19" i="9"/>
  <c r="K19" i="9"/>
  <c r="M19" i="9" s="1"/>
  <c r="L19" i="9" s="1"/>
  <c r="P7" i="8"/>
  <c r="K7" i="8"/>
  <c r="M7" i="8" s="1"/>
  <c r="L7" i="8" s="1"/>
  <c r="P14" i="8"/>
  <c r="K14" i="8"/>
  <c r="M14" i="8" s="1"/>
  <c r="L14" i="8" s="1"/>
  <c r="P2" i="8"/>
  <c r="K2" i="8"/>
  <c r="M2" i="8" s="1"/>
  <c r="L2" i="8" s="1"/>
  <c r="P10" i="8"/>
  <c r="K10" i="8"/>
  <c r="M10" i="8" s="1"/>
  <c r="L10" i="8" s="1"/>
  <c r="P15" i="8"/>
  <c r="K15" i="8"/>
  <c r="M15" i="8" s="1"/>
  <c r="L15" i="8" s="1"/>
  <c r="P9" i="8"/>
  <c r="K9" i="8"/>
  <c r="M9" i="8" s="1"/>
  <c r="L9" i="8" s="1"/>
  <c r="P6" i="8"/>
  <c r="K6" i="8"/>
  <c r="M6" i="8" s="1"/>
  <c r="L6" i="8" s="1"/>
  <c r="P5" i="8"/>
  <c r="K5" i="8"/>
  <c r="M5" i="8" s="1"/>
  <c r="L5" i="8" s="1"/>
  <c r="P18" i="8"/>
  <c r="K18" i="8"/>
  <c r="M18" i="8" s="1"/>
  <c r="L18" i="8" s="1"/>
  <c r="P11" i="8"/>
  <c r="K11" i="8"/>
  <c r="M11" i="8" s="1"/>
  <c r="L11" i="8" s="1"/>
  <c r="P17" i="8"/>
  <c r="K17" i="8"/>
  <c r="M17" i="8" s="1"/>
  <c r="L17" i="8" s="1"/>
  <c r="P13" i="8"/>
  <c r="K13" i="8"/>
  <c r="M13" i="8" s="1"/>
  <c r="L13" i="8" s="1"/>
  <c r="P19" i="8"/>
  <c r="K19" i="8"/>
  <c r="M19" i="8" s="1"/>
  <c r="L19" i="8" s="1"/>
  <c r="P18" i="7"/>
  <c r="K18" i="7"/>
  <c r="M18" i="7" s="1"/>
  <c r="L18" i="7" s="1"/>
  <c r="P14" i="7"/>
  <c r="K14" i="7"/>
  <c r="M14" i="7" s="1"/>
  <c r="L14" i="7" s="1"/>
  <c r="P17" i="7"/>
  <c r="K17" i="7"/>
  <c r="M17" i="7" s="1"/>
  <c r="L17" i="7" s="1"/>
  <c r="P19" i="7"/>
  <c r="K19" i="7"/>
  <c r="M19" i="7" s="1"/>
  <c r="L19" i="7" s="1"/>
  <c r="P13" i="7"/>
  <c r="K13" i="7"/>
  <c r="M13" i="7" s="1"/>
  <c r="L13" i="7" s="1"/>
  <c r="P15" i="7"/>
  <c r="K15" i="7"/>
  <c r="M15" i="7" s="1"/>
  <c r="L15" i="7" s="1"/>
  <c r="P9" i="7"/>
  <c r="K9" i="7"/>
  <c r="M9" i="7" s="1"/>
  <c r="L9" i="7" s="1"/>
  <c r="P11" i="7"/>
  <c r="K11" i="7"/>
  <c r="M11" i="7" s="1"/>
  <c r="L11" i="7" s="1"/>
  <c r="P10" i="7"/>
  <c r="K10" i="7"/>
  <c r="M10" i="7" s="1"/>
  <c r="L10" i="7" s="1"/>
  <c r="Q8" i="7"/>
  <c r="R8" i="7" s="1"/>
  <c r="Q4" i="7"/>
  <c r="R4" i="7" s="1"/>
  <c r="Q3" i="7"/>
  <c r="R3" i="7" s="1"/>
  <c r="Q5" i="7"/>
  <c r="R5" i="7" s="1"/>
  <c r="Q15" i="7"/>
  <c r="R15" i="7" s="1"/>
  <c r="Q9" i="7"/>
  <c r="R9" i="7" s="1"/>
  <c r="Q2" i="7"/>
  <c r="R2" i="7" s="1"/>
  <c r="Q14" i="7"/>
  <c r="R14" i="7" s="1"/>
  <c r="Q6" i="7"/>
  <c r="R6" i="7" s="1"/>
  <c r="Q7" i="7"/>
  <c r="R7" i="7" s="1"/>
  <c r="P5" i="7"/>
  <c r="Q20" i="7" s="1"/>
  <c r="R20" i="7" s="1"/>
  <c r="K5" i="7"/>
  <c r="M5" i="7" s="1"/>
  <c r="L5" i="7" s="1"/>
  <c r="P7" i="7"/>
  <c r="Q16" i="7" s="1"/>
  <c r="R16" i="7" s="1"/>
  <c r="K7" i="7"/>
  <c r="M7" i="7" s="1"/>
  <c r="L7" i="7" s="1"/>
  <c r="Q20" i="11" l="1"/>
  <c r="R20" i="11" s="1"/>
  <c r="Q16" i="11"/>
  <c r="R16" i="11" s="1"/>
  <c r="Q12" i="11"/>
  <c r="R12" i="11" s="1"/>
  <c r="Q8" i="11"/>
  <c r="R8" i="11" s="1"/>
  <c r="Q21" i="11"/>
  <c r="R21" i="11" s="1"/>
  <c r="Q17" i="11"/>
  <c r="R17" i="11" s="1"/>
  <c r="Q13" i="11"/>
  <c r="R13" i="11" s="1"/>
  <c r="Q9" i="11"/>
  <c r="R9" i="11" s="1"/>
  <c r="Q5" i="11"/>
  <c r="R5" i="11" s="1"/>
  <c r="Q18" i="11"/>
  <c r="R18" i="11" s="1"/>
  <c r="Q14" i="11"/>
  <c r="R14" i="11" s="1"/>
  <c r="Q10" i="11"/>
  <c r="R10" i="11" s="1"/>
  <c r="Q6" i="11"/>
  <c r="R6" i="11" s="1"/>
  <c r="Q15" i="11"/>
  <c r="R15" i="11" s="1"/>
  <c r="Q3" i="11"/>
  <c r="R3" i="11" s="1"/>
  <c r="Q11" i="11"/>
  <c r="R11" i="11" s="1"/>
  <c r="Q2" i="11"/>
  <c r="R2" i="11" s="1"/>
  <c r="Q7" i="11"/>
  <c r="R7" i="11" s="1"/>
  <c r="Q4" i="11"/>
  <c r="R4" i="11" s="1"/>
  <c r="Q19" i="11"/>
  <c r="R19" i="11" s="1"/>
  <c r="Q20" i="10"/>
  <c r="R20" i="10" s="1"/>
  <c r="Q16" i="10"/>
  <c r="R16" i="10" s="1"/>
  <c r="Q12" i="10"/>
  <c r="R12" i="10" s="1"/>
  <c r="Q8" i="10"/>
  <c r="R8" i="10" s="1"/>
  <c r="Q4" i="10"/>
  <c r="R4" i="10" s="1"/>
  <c r="Q3" i="10"/>
  <c r="R3" i="10" s="1"/>
  <c r="Q6" i="10"/>
  <c r="R6" i="10" s="1"/>
  <c r="Q19" i="10"/>
  <c r="R19" i="10" s="1"/>
  <c r="Q21" i="10"/>
  <c r="R21" i="10" s="1"/>
  <c r="Q17" i="10"/>
  <c r="R17" i="10" s="1"/>
  <c r="Q13" i="10"/>
  <c r="R13" i="10" s="1"/>
  <c r="Q9" i="10"/>
  <c r="R9" i="10" s="1"/>
  <c r="Q5" i="10"/>
  <c r="R5" i="10" s="1"/>
  <c r="Q18" i="10"/>
  <c r="R18" i="10" s="1"/>
  <c r="Q14" i="10"/>
  <c r="R14" i="10" s="1"/>
  <c r="Q10" i="10"/>
  <c r="R10" i="10" s="1"/>
  <c r="Q15" i="10"/>
  <c r="R15" i="10" s="1"/>
  <c r="Q11" i="10"/>
  <c r="R11" i="10" s="1"/>
  <c r="Q7" i="10"/>
  <c r="R7" i="10" s="1"/>
  <c r="Q2" i="10"/>
  <c r="R2" i="10" s="1"/>
  <c r="Q6" i="9"/>
  <c r="R6" i="9" s="1"/>
  <c r="Q15" i="9"/>
  <c r="R15" i="9" s="1"/>
  <c r="Q17" i="9"/>
  <c r="R17" i="9" s="1"/>
  <c r="Q10" i="9"/>
  <c r="R10" i="9" s="1"/>
  <c r="Q5" i="9"/>
  <c r="R5" i="9" s="1"/>
  <c r="Q21" i="9"/>
  <c r="R21" i="9" s="1"/>
  <c r="Q20" i="9"/>
  <c r="R20" i="9" s="1"/>
  <c r="Q7" i="9"/>
  <c r="R7" i="9" s="1"/>
  <c r="Q14" i="9"/>
  <c r="R14" i="9" s="1"/>
  <c r="Q9" i="9"/>
  <c r="R9" i="9" s="1"/>
  <c r="Q8" i="9"/>
  <c r="R8" i="9" s="1"/>
  <c r="Q11" i="9"/>
  <c r="R11" i="9" s="1"/>
  <c r="Q18" i="9"/>
  <c r="R18" i="9" s="1"/>
  <c r="Q13" i="9"/>
  <c r="R13" i="9" s="1"/>
  <c r="Q19" i="9"/>
  <c r="R19" i="9" s="1"/>
  <c r="Q20" i="8"/>
  <c r="R20" i="8" s="1"/>
  <c r="Q16" i="8"/>
  <c r="R16" i="8" s="1"/>
  <c r="Q12" i="8"/>
  <c r="R12" i="8" s="1"/>
  <c r="Q8" i="8"/>
  <c r="R8" i="8" s="1"/>
  <c r="Q4" i="8"/>
  <c r="R4" i="8" s="1"/>
  <c r="Q3" i="8"/>
  <c r="R3" i="8" s="1"/>
  <c r="Q18" i="8"/>
  <c r="R18" i="8" s="1"/>
  <c r="Q11" i="8"/>
  <c r="R11" i="8" s="1"/>
  <c r="Q21" i="8"/>
  <c r="R21" i="8" s="1"/>
  <c r="Q17" i="8"/>
  <c r="R17" i="8" s="1"/>
  <c r="Q13" i="8"/>
  <c r="R13" i="8" s="1"/>
  <c r="Q9" i="8"/>
  <c r="R9" i="8" s="1"/>
  <c r="Q5" i="8"/>
  <c r="R5" i="8" s="1"/>
  <c r="Q14" i="8"/>
  <c r="R14" i="8" s="1"/>
  <c r="Q10" i="8"/>
  <c r="R10" i="8" s="1"/>
  <c r="Q6" i="8"/>
  <c r="R6" i="8" s="1"/>
  <c r="Q19" i="8"/>
  <c r="R19" i="8" s="1"/>
  <c r="Q15" i="8"/>
  <c r="R15" i="8" s="1"/>
  <c r="Q7" i="8"/>
  <c r="R7" i="8" s="1"/>
  <c r="Q2" i="8"/>
  <c r="R2" i="8" s="1"/>
  <c r="Q19" i="7"/>
  <c r="R19" i="7" s="1"/>
  <c r="Q18" i="7"/>
  <c r="R18" i="7" s="1"/>
  <c r="Q13" i="7"/>
  <c r="R13" i="7" s="1"/>
  <c r="Q12" i="7"/>
  <c r="R12" i="7" s="1"/>
  <c r="Q17" i="7"/>
  <c r="R17" i="7" s="1"/>
  <c r="Q10" i="7"/>
  <c r="R10" i="7" s="1"/>
  <c r="Q11" i="7"/>
  <c r="R11" i="7" s="1"/>
  <c r="Q21" i="7"/>
  <c r="R21" i="7" s="1"/>
  <c r="I17" i="1" l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12" i="1" s="1"/>
  <c r="M12" i="1" l="1"/>
  <c r="X12" i="1" s="1"/>
  <c r="K14" i="1"/>
  <c r="K15" i="1"/>
  <c r="K13" i="1"/>
  <c r="K2" i="1"/>
  <c r="K22" i="1"/>
  <c r="K9" i="1"/>
  <c r="K17" i="1"/>
  <c r="K20" i="1"/>
  <c r="K18" i="1"/>
  <c r="K19" i="1"/>
  <c r="K21" i="1"/>
  <c r="K3" i="1"/>
  <c r="K16" i="1"/>
  <c r="K6" i="1"/>
  <c r="K7" i="1"/>
  <c r="K4" i="1"/>
  <c r="K5" i="1"/>
  <c r="K10" i="1"/>
  <c r="K11" i="1"/>
  <c r="K8" i="1"/>
  <c r="M10" i="1" l="1"/>
  <c r="X10" i="1" s="1"/>
  <c r="M5" i="1"/>
  <c r="X5" i="1" s="1"/>
  <c r="T12" i="1"/>
  <c r="O12" i="1"/>
  <c r="M19" i="1"/>
  <c r="X19" i="1" s="1"/>
  <c r="M22" i="1"/>
  <c r="M18" i="1"/>
  <c r="X18" i="1" s="1"/>
  <c r="AC18" i="1" s="1"/>
  <c r="M4" i="1"/>
  <c r="X4" i="1" s="1"/>
  <c r="AC4" i="1" s="1"/>
  <c r="M13" i="1"/>
  <c r="X13" i="1" s="1"/>
  <c r="M6" i="1"/>
  <c r="X6" i="1" s="1"/>
  <c r="AC6" i="1" s="1"/>
  <c r="M9" i="1"/>
  <c r="X9" i="1" s="1"/>
  <c r="M14" i="1"/>
  <c r="X14" i="1" s="1"/>
  <c r="M16" i="1"/>
  <c r="X16" i="1" s="1"/>
  <c r="M2" i="1"/>
  <c r="X2" i="1" s="1"/>
  <c r="M8" i="1"/>
  <c r="X8" i="1" s="1"/>
  <c r="M3" i="1"/>
  <c r="X3" i="1" s="1"/>
  <c r="M20" i="1"/>
  <c r="X20" i="1" s="1"/>
  <c r="AC20" i="1" s="1"/>
  <c r="M11" i="1"/>
  <c r="X11" i="1" s="1"/>
  <c r="M7" i="1"/>
  <c r="X7" i="1" s="1"/>
  <c r="M21" i="1"/>
  <c r="X21" i="1" s="1"/>
  <c r="M17" i="1"/>
  <c r="X17" i="1" s="1"/>
  <c r="M15" i="1"/>
  <c r="X15" i="1" s="1"/>
  <c r="AC11" i="1"/>
  <c r="AC5" i="1"/>
  <c r="Q12" i="1" l="1"/>
  <c r="AC17" i="1"/>
  <c r="AC16" i="1"/>
  <c r="AC15" i="1"/>
  <c r="AC2" i="1"/>
  <c r="T7" i="1"/>
  <c r="O7" i="1"/>
  <c r="T8" i="1"/>
  <c r="O8" i="1"/>
  <c r="T9" i="1"/>
  <c r="O9" i="1"/>
  <c r="Q9" i="1" s="1"/>
  <c r="T13" i="1"/>
  <c r="O13" i="1"/>
  <c r="T19" i="1"/>
  <c r="O19" i="1"/>
  <c r="T3" i="1"/>
  <c r="O3" i="1"/>
  <c r="O14" i="1"/>
  <c r="T14" i="1"/>
  <c r="Q14" i="1"/>
  <c r="O22" i="1"/>
  <c r="Q22" i="1" s="1"/>
  <c r="O10" i="1"/>
  <c r="T10" i="1"/>
  <c r="Q10" i="1"/>
  <c r="T21" i="1"/>
  <c r="O21" i="1"/>
  <c r="AC7" i="1"/>
  <c r="AC8" i="1"/>
  <c r="T16" i="1"/>
  <c r="O16" i="1"/>
  <c r="AC9" i="1"/>
  <c r="AC13" i="1"/>
  <c r="O18" i="1"/>
  <c r="T18" i="1"/>
  <c r="T5" i="1"/>
  <c r="O5" i="1"/>
  <c r="AC12" i="1"/>
  <c r="T17" i="1"/>
  <c r="O17" i="1"/>
  <c r="T20" i="1"/>
  <c r="O20" i="1"/>
  <c r="T15" i="1"/>
  <c r="O15" i="1"/>
  <c r="T11" i="1"/>
  <c r="O11" i="1"/>
  <c r="O2" i="1"/>
  <c r="T2" i="1"/>
  <c r="V3" i="1" s="1"/>
  <c r="AC14" i="1"/>
  <c r="O6" i="1"/>
  <c r="T6" i="1"/>
  <c r="T4" i="1"/>
  <c r="O4" i="1"/>
  <c r="V7" i="1" l="1"/>
  <c r="V4" i="1"/>
  <c r="Q17" i="1"/>
  <c r="Q18" i="1"/>
  <c r="V6" i="1"/>
  <c r="V19" i="1"/>
  <c r="V18" i="1"/>
  <c r="V14" i="1"/>
  <c r="Q11" i="1"/>
  <c r="V15" i="1"/>
  <c r="Q4" i="1"/>
  <c r="V2" i="1"/>
  <c r="V11" i="1"/>
  <c r="Q20" i="1"/>
  <c r="AC19" i="1"/>
  <c r="Q16" i="1"/>
  <c r="Q3" i="1"/>
  <c r="V21" i="1"/>
  <c r="V5" i="1"/>
  <c r="AC10" i="1"/>
  <c r="AC21" i="1"/>
  <c r="Q15" i="1"/>
  <c r="Q19" i="1"/>
  <c r="Q8" i="1"/>
  <c r="AC3" i="1"/>
  <c r="V13" i="1"/>
  <c r="V10" i="1"/>
  <c r="V16" i="1"/>
  <c r="V17" i="1"/>
  <c r="V9" i="1"/>
  <c r="V8" i="1"/>
  <c r="V20" i="1"/>
  <c r="V12" i="1"/>
  <c r="Q6" i="1"/>
  <c r="Q2" i="1"/>
  <c r="Q5" i="1"/>
  <c r="Q21" i="1"/>
  <c r="Q13" i="1"/>
  <c r="Q7" i="1"/>
  <c r="AC24" i="1" l="1"/>
</calcChain>
</file>

<file path=xl/sharedStrings.xml><?xml version="1.0" encoding="utf-8"?>
<sst xmlns="http://schemas.openxmlformats.org/spreadsheetml/2006/main" count="260" uniqueCount="168">
  <si>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</si>
  <si>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</si>
  <si>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</si>
  <si>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</si>
  <si>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</si>
  <si>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</si>
  <si>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</si>
  <si>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</si>
  <si>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</si>
  <si>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</si>
  <si>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</si>
  <si>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</si>
  <si>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</si>
  <si>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</si>
  <si>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</si>
  <si>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</si>
  <si>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CT24E 1 mL</t>
  </si>
  <si>
    <t>CT24E 2 mL</t>
  </si>
  <si>
    <t>CT24E 3 mL</t>
  </si>
  <si>
    <t>CT24E 4 mL</t>
  </si>
  <si>
    <t>CT24E 5 mL</t>
  </si>
  <si>
    <t>CT24E 6 mL</t>
  </si>
  <si>
    <t>CT24E 7 mL</t>
  </si>
  <si>
    <t>CT24E 8 mL</t>
  </si>
  <si>
    <t>CT24E 9 mL</t>
  </si>
  <si>
    <t>CT24E 10 mL</t>
  </si>
  <si>
    <t>CT24E 11 mL</t>
  </si>
  <si>
    <t>CT24E 12 mL</t>
  </si>
  <si>
    <t>CT24E 13 mL</t>
  </si>
  <si>
    <t>CT24E 14 mL</t>
  </si>
  <si>
    <t>CT24E 15 mL</t>
  </si>
  <si>
    <t>CT24E 16 mL</t>
  </si>
  <si>
    <t>CT24E 17 mL</t>
  </si>
  <si>
    <t>CT24E 18 mL</t>
  </si>
  <si>
    <t>CT24E 19 mL</t>
  </si>
  <si>
    <t>CT24E 20 mL</t>
  </si>
  <si>
    <t>2 ml/min</t>
  </si>
  <si>
    <t>CT23E 1 mL</t>
  </si>
  <si>
    <t>CT23E 2 mL</t>
  </si>
  <si>
    <t>CT23E 3 mL</t>
  </si>
  <si>
    <t>CT23E 4 mL</t>
  </si>
  <si>
    <t>CT23E 5 mL</t>
  </si>
  <si>
    <t>CT23E 6 mL</t>
  </si>
  <si>
    <t>CT23E 7 mL</t>
  </si>
  <si>
    <t>CT23E 8 mL</t>
  </si>
  <si>
    <t>CT23E 9 mL</t>
  </si>
  <si>
    <t>CT23E 10 mL</t>
  </si>
  <si>
    <t>CT23E 11 mL</t>
  </si>
  <si>
    <t>CT23E 12 mL</t>
  </si>
  <si>
    <t>CT23E 13 mL</t>
  </si>
  <si>
    <t>CT23E 14 mL</t>
  </si>
  <si>
    <t>CT23E 15 mL</t>
  </si>
  <si>
    <t>CT23E 16 mL</t>
  </si>
  <si>
    <t>CT23E 17 mL</t>
  </si>
  <si>
    <t>CT23E 18 mL</t>
  </si>
  <si>
    <t>CT23E 19 mL</t>
  </si>
  <si>
    <t>CT23E 20 mL</t>
  </si>
  <si>
    <t>4 ml/min</t>
  </si>
  <si>
    <t>CT22E 1 mL</t>
  </si>
  <si>
    <t>CT22E 2 mL</t>
  </si>
  <si>
    <t>CT22E 3 mL</t>
  </si>
  <si>
    <t>CT22E 4 mL</t>
  </si>
  <si>
    <t>CT22E 5 mL</t>
  </si>
  <si>
    <t>CT22E 6 mL</t>
  </si>
  <si>
    <t>CT22E 7 mL</t>
  </si>
  <si>
    <t>CT22E 8 mL</t>
  </si>
  <si>
    <t>CT22E 9 mL</t>
  </si>
  <si>
    <t>CT22E 10 mL</t>
  </si>
  <si>
    <t>CT22E 11 mL</t>
  </si>
  <si>
    <t>CT22E 12 mL</t>
  </si>
  <si>
    <t>CT22E 13 mL</t>
  </si>
  <si>
    <t>CT22E 14 mL</t>
  </si>
  <si>
    <t>CT22E 15 mL</t>
  </si>
  <si>
    <t>CT22E 16 mL</t>
  </si>
  <si>
    <t>CT22E 17 mL</t>
  </si>
  <si>
    <t>CT22E 18 mL</t>
  </si>
  <si>
    <t>CT22E 19 mL</t>
  </si>
  <si>
    <t>CT22E 20 mL</t>
  </si>
  <si>
    <t>5 ml/min</t>
  </si>
  <si>
    <t>CT21E 1 mL</t>
  </si>
  <si>
    <t>CT21E 2 mL</t>
  </si>
  <si>
    <t>CT21E 3 mL</t>
  </si>
  <si>
    <t>CT21E 4 mL</t>
  </si>
  <si>
    <t>CT21E 5 mL</t>
  </si>
  <si>
    <t>CT21E 6 mL</t>
  </si>
  <si>
    <t>CT21E 7 mL</t>
  </si>
  <si>
    <t>CT21E 8 mL</t>
  </si>
  <si>
    <t>CT21E 9 mL</t>
  </si>
  <si>
    <t>CT21E 10 mL</t>
  </si>
  <si>
    <t>CT21E 11 mL</t>
  </si>
  <si>
    <t>CT21E 12 mL</t>
  </si>
  <si>
    <t>CT21E 13 mL</t>
  </si>
  <si>
    <t>CT21E 14 mL</t>
  </si>
  <si>
    <t>CT21E 15 mL</t>
  </si>
  <si>
    <t>CT21E 16 mL</t>
  </si>
  <si>
    <t>CT21E 17 mL</t>
  </si>
  <si>
    <t>CT21E 18 mL</t>
  </si>
  <si>
    <t>CT21E 19 mL</t>
  </si>
  <si>
    <t>CT21E 20 mL</t>
  </si>
  <si>
    <t>6 ml/min</t>
  </si>
  <si>
    <t>CT20E 1 mL</t>
  </si>
  <si>
    <t>CT20E 2 mL</t>
  </si>
  <si>
    <t>CT20E 3 mL</t>
  </si>
  <si>
    <t>CT20E 4 mL</t>
  </si>
  <si>
    <t>CT20E 5 mL</t>
  </si>
  <si>
    <t>CT20E 6 mL</t>
  </si>
  <si>
    <t>CT20E 7 mL</t>
  </si>
  <si>
    <t>CT20E 8 mL</t>
  </si>
  <si>
    <t>CT20E 9 mL</t>
  </si>
  <si>
    <t>CT20E 10 mL</t>
  </si>
  <si>
    <t>CT20E 11 mL</t>
  </si>
  <si>
    <t>CT20E 12 mL</t>
  </si>
  <si>
    <t>CT20E 13 mL</t>
  </si>
  <si>
    <t>CT20E 14 mL</t>
  </si>
  <si>
    <t>CT20E 15 mL</t>
  </si>
  <si>
    <t>CT20E 16 mL</t>
  </si>
  <si>
    <t>CT20E 17 mL</t>
  </si>
  <si>
    <t>CT20E 18 mL</t>
  </si>
  <si>
    <t>CT20E 19 mL</t>
  </si>
  <si>
    <t>CT20E 20 mL</t>
  </si>
  <si>
    <t>3 ml/min</t>
  </si>
  <si>
    <t>CT19E 1 mL</t>
  </si>
  <si>
    <t>CT19E 2 mL</t>
  </si>
  <si>
    <t>CT19E 3 mL</t>
  </si>
  <si>
    <t>CT19E 4 mL</t>
  </si>
  <si>
    <t>CT19E 5 mL</t>
  </si>
  <si>
    <t>CT19E 6 mL</t>
  </si>
  <si>
    <t>CT19E 7 mL</t>
  </si>
  <si>
    <t>CT19E 8 mL</t>
  </si>
  <si>
    <t>CT19E 9 mL</t>
  </si>
  <si>
    <t>CT19E 10 mL</t>
  </si>
  <si>
    <t>CT19E 11 mL</t>
  </si>
  <si>
    <t>CT19E 12 mL</t>
  </si>
  <si>
    <t>CT19E 13 mL</t>
  </si>
  <si>
    <t>CT19E 14 mL</t>
  </si>
  <si>
    <t>CT19E 15 mL</t>
  </si>
  <si>
    <t>CT19E 16 mL</t>
  </si>
  <si>
    <t>CT19E 17 mL</t>
  </si>
  <si>
    <t>CT19E 18 mL</t>
  </si>
  <si>
    <t>CT19E 19 mL</t>
  </si>
  <si>
    <t>CT19E 20 mL</t>
  </si>
  <si>
    <t>1 ml/min</t>
  </si>
  <si>
    <t>Weight of eluate (g)</t>
  </si>
  <si>
    <t>Weight Corrected Sr-90 Activity (DPM)</t>
  </si>
  <si>
    <t>Weight Corrected Sr-90 activity (DPM)</t>
  </si>
  <si>
    <t>Cumulative Activity (DPM)</t>
  </si>
  <si>
    <t>1/2 cumulative activity</t>
  </si>
  <si>
    <t>Weight corrected Sr-90 activity (DPM)</t>
  </si>
  <si>
    <t>Decay constant of sr-90=</t>
  </si>
  <si>
    <t>DC factor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</si>
  <si>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</si>
  <si>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</si>
  <si>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</si>
  <si>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</si>
  <si>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</si>
  <si>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</si>
  <si>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</si>
  <si>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</t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</si>
  <si>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</si>
  <si>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</si>
  <si>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</si>
  <si>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</si>
  <si>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</si>
  <si>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</si>
  <si>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Time from 05.06.2018</t>
  </si>
  <si>
    <t>DC to 05.06.2018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</si>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</sst>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2" borderId="2" xfId="0" applyFill="1" applyBorder="1"/>
    <xf numFmtId="0" fontId="0" fillId="2" borderId="3" xfId="0" applyNumberFormat="1" applyFill="1" applyBorder="1"/>
    <xf numFmtId="0" fontId="0" fillId="2" borderId="3" xfId="0" applyFill="1" applyBorder="1"/>
    <xf numFmtId="0" fontId="0" fillId="2" borderId="1" xfId="0" applyNumberFormat="1" applyFill="1" applyBorder="1"/>
    <xf numFmtId="0" fontId="0" fillId="2" borderId="1" xfId="0" applyFill="1" applyBorder="1"/>
    <xf numFmtId="0" fontId="0" fillId="0" borderId="2" xfId="0" applyBorder="1"/>
    <xf numFmtId="0" fontId="0" fillId="0" borderId="4" xfId="0" applyBorder="1"/>
    <xf numFmtId="166" fontId="0" fillId="2" borderId="3" xfId="0" applyNumberFormat="1" applyFill="1" applyBorder="1"/>
    <xf numFmtId="166" fontId="0" fillId="2" borderId="1" xfId="0" applyNumberFormat="1" applyFill="1" applyBorder="1"/>
    <xf numFmtId="0" fontId="0" fillId="0" borderId="1" xfId="0" applyBorder="1"/>
    <xf numFmtId="0" fontId="1" fillId="0" borderId="0" xfId="0" applyFont="1"/>
    <xf numFmtId="0" fontId="0" fillId="2" borderId="0" xfId="0" applyFill="1"/>
    <xf numFmtId="0" fontId="0" fillId="3" borderId="0" xfId="0" applyFill="1"/>
    <xf numFmtId="22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K1" workbookViewId="0">
      <selection activeCell="Q1" sqref="Q1:R104857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140625" bestFit="1" customWidth="1"/>
    <col min="17" max="17" width="24.7109375" bestFit="1" customWidth="1"/>
    <col min="18" max="18" width="24.7109375" customWidth="1"/>
    <col min="19" max="19" width="22.140625" bestFit="1" customWidth="1"/>
  </cols>
  <sheetData>
    <row r="1" spans="1:1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142</v>
      </c>
      <c r="P1" t="s">
        <v>144</v>
      </c>
      <c r="Q1" t="s">
        <v>145</v>
      </c>
      <c r="R1" t="s">
        <v>146</v>
      </c>
    </row>
    <row r="2" spans="1:19" x14ac:dyDescent="0.25">
      <c r="A2" t="s">
        <v>121</v>
      </c>
      <c r="B2" s="1">
        <v>43312.628472222219</v>
      </c>
      <c r="C2" s="1">
        <v>43313.361805555556</v>
      </c>
      <c r="D2" s="3">
        <v>8.4600000000000009</v>
      </c>
      <c r="E2">
        <f t="shared" ref="E2:E22" si="0">D2-$D$22</f>
        <v>0.58000000000000096</v>
      </c>
      <c r="F2" s="2">
        <f>(C2-B2)*24</f>
        <v>17.600000000093132</v>
      </c>
      <c r="G2">
        <f>1-EXP(-$S$3*F2)</f>
        <v>0.18019366193251818</v>
      </c>
      <c r="H2">
        <v>1</v>
      </c>
      <c r="I2">
        <v>1</v>
      </c>
      <c r="J2">
        <f>E2/((1+G2)*(H2/I2))</f>
        <v>0.49144476767505685</v>
      </c>
      <c r="K2">
        <f>N2*G2*H2</f>
        <v>8.8555232324944125E-2</v>
      </c>
      <c r="L2">
        <f>M2+N2</f>
        <v>0.58000000000000096</v>
      </c>
      <c r="M2">
        <f>K2/H2</f>
        <v>8.8555232324944125E-2</v>
      </c>
      <c r="N2">
        <f>J2/I2</f>
        <v>0.49144476767505685</v>
      </c>
      <c r="O2">
        <v>0.96010000000000062</v>
      </c>
      <c r="P2">
        <f>N2/O2</f>
        <v>0.51186831337887362</v>
      </c>
      <c r="Q2">
        <f>SUM($P$2:P2)</f>
        <v>0.51186831337887362</v>
      </c>
      <c r="R2">
        <f>Q2/2</f>
        <v>0.25593415668943681</v>
      </c>
      <c r="S2" t="s">
        <v>2</v>
      </c>
    </row>
    <row r="3" spans="1:19" x14ac:dyDescent="0.25">
      <c r="A3" t="s">
        <v>122</v>
      </c>
      <c r="B3" s="1">
        <v>43312.628472222219</v>
      </c>
      <c r="C3" s="1">
        <v>43313.384722222225</v>
      </c>
      <c r="D3" s="3">
        <v>7.88</v>
      </c>
      <c r="E3">
        <f t="shared" si="0"/>
        <v>0</v>
      </c>
      <c r="F3" s="2">
        <f t="shared" ref="F3:F21" si="1">(C3-B3)*24</f>
        <v>18.150000000139698</v>
      </c>
      <c r="G3">
        <f t="shared" ref="G3:G21" si="2">1-EXP(-$S$3*F3)</f>
        <v>0.18526804778146133</v>
      </c>
      <c r="H3">
        <v>1</v>
      </c>
      <c r="I3">
        <v>1</v>
      </c>
      <c r="J3">
        <f t="shared" ref="J3:J21" si="3">E3/((1+G3)*(H3/I3))</f>
        <v>0</v>
      </c>
      <c r="K3">
        <f t="shared" ref="K3:K21" si="4">N3*G3*H3</f>
        <v>0</v>
      </c>
      <c r="L3">
        <f t="shared" ref="L3:L21" si="5">M3+N3</f>
        <v>0</v>
      </c>
      <c r="M3">
        <f t="shared" ref="M3:M21" si="6">K3/H3</f>
        <v>0</v>
      </c>
      <c r="N3">
        <f t="shared" ref="N3:N21" si="7">J3/I3</f>
        <v>0</v>
      </c>
      <c r="O3">
        <v>0.98840000000000039</v>
      </c>
      <c r="P3">
        <f t="shared" ref="P3:P21" si="8">N3/O3</f>
        <v>0</v>
      </c>
      <c r="Q3">
        <f>SUM($P$2:P3)</f>
        <v>0.51186831337887362</v>
      </c>
      <c r="R3">
        <f t="shared" ref="R3:R21" si="9">Q3/2</f>
        <v>0.25593415668943681</v>
      </c>
      <c r="S3">
        <f>LN(2)/61.4</f>
        <v>1.1289042028663604E-2</v>
      </c>
    </row>
    <row r="4" spans="1:19" x14ac:dyDescent="0.25">
      <c r="A4" t="s">
        <v>123</v>
      </c>
      <c r="B4" s="1">
        <v>43312.628472164353</v>
      </c>
      <c r="C4" s="1">
        <v>43313.407638888886</v>
      </c>
      <c r="D4" s="3">
        <v>7.98</v>
      </c>
      <c r="E4">
        <f t="shared" si="0"/>
        <v>0.10000000000000053</v>
      </c>
      <c r="F4" s="2">
        <f t="shared" si="1"/>
        <v>18.700001388788223</v>
      </c>
      <c r="G4">
        <f t="shared" si="2"/>
        <v>0.19031103720784071</v>
      </c>
      <c r="H4">
        <v>1</v>
      </c>
      <c r="I4">
        <v>1</v>
      </c>
      <c r="J4">
        <f t="shared" si="3"/>
        <v>8.4011654831475352E-2</v>
      </c>
      <c r="K4">
        <f t="shared" si="4"/>
        <v>1.5988345168525177E-2</v>
      </c>
      <c r="L4">
        <f t="shared" si="5"/>
        <v>0.10000000000000053</v>
      </c>
      <c r="M4">
        <f t="shared" si="6"/>
        <v>1.5988345168525177E-2</v>
      </c>
      <c r="N4">
        <f t="shared" si="7"/>
        <v>8.4011654831475352E-2</v>
      </c>
      <c r="O4">
        <v>0.96379999999999999</v>
      </c>
      <c r="P4">
        <f t="shared" si="8"/>
        <v>8.7167103996135462E-2</v>
      </c>
      <c r="Q4">
        <f>SUM($P$2:P4)</f>
        <v>0.59903541737500909</v>
      </c>
      <c r="R4">
        <f t="shared" si="9"/>
        <v>0.29951770868750455</v>
      </c>
    </row>
    <row r="5" spans="1:19" x14ac:dyDescent="0.25">
      <c r="A5" t="s">
        <v>124</v>
      </c>
      <c r="B5" s="1">
        <v>43312.628472164353</v>
      </c>
      <c r="C5" s="1">
        <v>43313.430555555555</v>
      </c>
      <c r="D5" s="3">
        <v>8.56</v>
      </c>
      <c r="E5">
        <f t="shared" si="0"/>
        <v>0.6800000000000006</v>
      </c>
      <c r="F5" s="2">
        <f t="shared" si="1"/>
        <v>19.250001388834789</v>
      </c>
      <c r="G5">
        <f t="shared" si="2"/>
        <v>0.19532279916191786</v>
      </c>
      <c r="H5">
        <v>1</v>
      </c>
      <c r="I5">
        <v>1</v>
      </c>
      <c r="J5">
        <f t="shared" si="3"/>
        <v>0.56888398721815736</v>
      </c>
      <c r="K5">
        <f t="shared" si="4"/>
        <v>0.1111160127818432</v>
      </c>
      <c r="L5">
        <f t="shared" si="5"/>
        <v>0.6800000000000006</v>
      </c>
      <c r="M5">
        <f t="shared" si="6"/>
        <v>0.1111160127818432</v>
      </c>
      <c r="N5">
        <f t="shared" si="7"/>
        <v>0.56888398721815736</v>
      </c>
      <c r="O5">
        <v>0.82369999999999965</v>
      </c>
      <c r="P5">
        <f t="shared" si="8"/>
        <v>0.69064463666159714</v>
      </c>
      <c r="Q5">
        <f>SUM($P$2:P5)</f>
        <v>1.2896800540366062</v>
      </c>
      <c r="R5">
        <f t="shared" si="9"/>
        <v>0.64484002701830312</v>
      </c>
    </row>
    <row r="6" spans="1:19" x14ac:dyDescent="0.25">
      <c r="A6" t="s">
        <v>125</v>
      </c>
      <c r="B6" s="1">
        <v>43312.628472164353</v>
      </c>
      <c r="C6" s="1">
        <v>43313.453472222223</v>
      </c>
      <c r="D6" s="3">
        <v>22.82</v>
      </c>
      <c r="E6">
        <f t="shared" si="0"/>
        <v>14.940000000000001</v>
      </c>
      <c r="F6" s="2">
        <f t="shared" si="1"/>
        <v>19.800001388881356</v>
      </c>
      <c r="G6">
        <f t="shared" si="2"/>
        <v>0.20030353962621494</v>
      </c>
      <c r="H6">
        <v>1</v>
      </c>
      <c r="I6">
        <v>1</v>
      </c>
      <c r="J6">
        <f t="shared" si="3"/>
        <v>12.446851572771708</v>
      </c>
      <c r="K6">
        <f t="shared" si="4"/>
        <v>2.4931484272282938</v>
      </c>
      <c r="L6">
        <f t="shared" si="5"/>
        <v>14.940000000000001</v>
      </c>
      <c r="M6">
        <f t="shared" si="6"/>
        <v>2.4931484272282938</v>
      </c>
      <c r="N6">
        <f t="shared" si="7"/>
        <v>12.446851572771708</v>
      </c>
      <c r="O6">
        <v>0.8136000000000001</v>
      </c>
      <c r="P6">
        <f t="shared" si="8"/>
        <v>15.298490133691871</v>
      </c>
      <c r="Q6">
        <f>SUM($P$2:P6)</f>
        <v>16.588170187728476</v>
      </c>
      <c r="R6">
        <f t="shared" si="9"/>
        <v>8.2940850938642381</v>
      </c>
    </row>
    <row r="7" spans="1:19" x14ac:dyDescent="0.25">
      <c r="A7" t="s">
        <v>126</v>
      </c>
      <c r="B7" s="1">
        <v>43312.628472164353</v>
      </c>
      <c r="C7" s="1">
        <v>43313.476388888892</v>
      </c>
      <c r="D7" s="3">
        <v>93.86</v>
      </c>
      <c r="E7">
        <f t="shared" si="0"/>
        <v>85.98</v>
      </c>
      <c r="F7" s="2">
        <f t="shared" si="1"/>
        <v>20.350001388927922</v>
      </c>
      <c r="G7">
        <f t="shared" si="2"/>
        <v>0.20525345061560352</v>
      </c>
      <c r="H7">
        <v>1</v>
      </c>
      <c r="I7">
        <v>1</v>
      </c>
      <c r="J7">
        <f t="shared" si="3"/>
        <v>71.337692463012061</v>
      </c>
      <c r="K7">
        <f t="shared" si="4"/>
        <v>14.642307536987957</v>
      </c>
      <c r="L7">
        <f t="shared" si="5"/>
        <v>85.980000000000018</v>
      </c>
      <c r="M7">
        <f t="shared" si="6"/>
        <v>14.642307536987957</v>
      </c>
      <c r="N7">
        <f t="shared" si="7"/>
        <v>71.337692463012061</v>
      </c>
      <c r="O7">
        <v>0.77939999999999987</v>
      </c>
      <c r="P7">
        <f t="shared" si="8"/>
        <v>91.528986993856904</v>
      </c>
      <c r="Q7">
        <f>SUM($P$2:P7)</f>
        <v>108.11715718158538</v>
      </c>
      <c r="R7">
        <f t="shared" si="9"/>
        <v>54.058578590792692</v>
      </c>
    </row>
    <row r="8" spans="1:19" x14ac:dyDescent="0.25">
      <c r="A8" t="s">
        <v>127</v>
      </c>
      <c r="B8" s="1">
        <v>43312.628472164353</v>
      </c>
      <c r="C8" s="1">
        <v>43313.499305555553</v>
      </c>
      <c r="D8" s="3">
        <v>395.23</v>
      </c>
      <c r="E8">
        <f t="shared" si="0"/>
        <v>387.35</v>
      </c>
      <c r="F8" s="2">
        <f t="shared" si="1"/>
        <v>20.900001388799865</v>
      </c>
      <c r="G8">
        <f t="shared" si="2"/>
        <v>0.21017272295487655</v>
      </c>
      <c r="H8">
        <v>1</v>
      </c>
      <c r="I8">
        <v>1</v>
      </c>
      <c r="J8">
        <f t="shared" si="3"/>
        <v>320.07827697042143</v>
      </c>
      <c r="K8">
        <f t="shared" si="4"/>
        <v>67.271723029578624</v>
      </c>
      <c r="L8">
        <f t="shared" si="5"/>
        <v>387.35</v>
      </c>
      <c r="M8">
        <f t="shared" si="6"/>
        <v>67.271723029578624</v>
      </c>
      <c r="N8">
        <f t="shared" si="7"/>
        <v>320.07827697042143</v>
      </c>
      <c r="O8">
        <v>0.77479999999999993</v>
      </c>
      <c r="P8">
        <f t="shared" si="8"/>
        <v>413.11083759734311</v>
      </c>
      <c r="Q8">
        <f>SUM($P$2:P8)</f>
        <v>521.22799477892852</v>
      </c>
      <c r="R8">
        <f t="shared" si="9"/>
        <v>260.61399738946426</v>
      </c>
    </row>
    <row r="9" spans="1:19" x14ac:dyDescent="0.25">
      <c r="A9" t="s">
        <v>128</v>
      </c>
      <c r="B9" s="1">
        <v>43312.628472164353</v>
      </c>
      <c r="C9" s="1">
        <v>43313.522222222222</v>
      </c>
      <c r="D9" s="3">
        <v>481.3</v>
      </c>
      <c r="E9">
        <f t="shared" si="0"/>
        <v>473.42</v>
      </c>
      <c r="F9" s="2">
        <f t="shared" si="1"/>
        <v>21.450001388846431</v>
      </c>
      <c r="G9">
        <f t="shared" si="2"/>
        <v>0.21506154629234275</v>
      </c>
      <c r="H9">
        <v>1</v>
      </c>
      <c r="I9">
        <v>1</v>
      </c>
      <c r="J9">
        <f t="shared" si="3"/>
        <v>389.62635386215698</v>
      </c>
      <c r="K9">
        <f t="shared" si="4"/>
        <v>83.793646137842984</v>
      </c>
      <c r="L9">
        <f t="shared" si="5"/>
        <v>473.41999999999996</v>
      </c>
      <c r="M9">
        <f t="shared" si="6"/>
        <v>83.793646137842984</v>
      </c>
      <c r="N9">
        <f t="shared" si="7"/>
        <v>389.62635386215698</v>
      </c>
      <c r="O9">
        <v>0.77789999999999981</v>
      </c>
      <c r="P9">
        <f t="shared" si="8"/>
        <v>500.86946119315729</v>
      </c>
      <c r="Q9">
        <f>SUM($P$2:P9)</f>
        <v>1022.0974559720858</v>
      </c>
      <c r="R9">
        <f t="shared" si="9"/>
        <v>511.04872798604288</v>
      </c>
    </row>
    <row r="10" spans="1:19" x14ac:dyDescent="0.25">
      <c r="A10" t="s">
        <v>129</v>
      </c>
      <c r="B10" s="1">
        <v>43312.628472164353</v>
      </c>
      <c r="C10" s="1">
        <v>43313.543749999997</v>
      </c>
      <c r="D10" s="3">
        <v>276.31</v>
      </c>
      <c r="E10">
        <f t="shared" si="0"/>
        <v>268.43</v>
      </c>
      <c r="F10" s="2">
        <f t="shared" si="1"/>
        <v>21.966668055451009</v>
      </c>
      <c r="G10">
        <f t="shared" si="2"/>
        <v>0.21962650870335054</v>
      </c>
      <c r="H10">
        <v>1</v>
      </c>
      <c r="I10">
        <v>1</v>
      </c>
      <c r="J10">
        <f t="shared" si="3"/>
        <v>220.09196920898526</v>
      </c>
      <c r="K10">
        <f t="shared" si="4"/>
        <v>48.338030791014759</v>
      </c>
      <c r="L10">
        <f t="shared" si="5"/>
        <v>268.43</v>
      </c>
      <c r="M10">
        <f t="shared" si="6"/>
        <v>48.338030791014759</v>
      </c>
      <c r="N10">
        <f t="shared" si="7"/>
        <v>220.09196920898526</v>
      </c>
      <c r="O10">
        <v>0.77090000000000014</v>
      </c>
      <c r="P10">
        <f t="shared" si="8"/>
        <v>285.50002491760955</v>
      </c>
      <c r="Q10">
        <f>SUM($P$2:P10)</f>
        <v>1307.5974808896954</v>
      </c>
      <c r="R10">
        <f t="shared" si="9"/>
        <v>653.79874044484768</v>
      </c>
    </row>
    <row r="11" spans="1:19" x14ac:dyDescent="0.25">
      <c r="A11" t="s">
        <v>130</v>
      </c>
      <c r="B11" s="1">
        <v>43312.628472164353</v>
      </c>
      <c r="C11" s="1">
        <v>43313.566666666666</v>
      </c>
      <c r="D11" s="3">
        <v>108.12</v>
      </c>
      <c r="E11">
        <f t="shared" si="0"/>
        <v>100.24000000000001</v>
      </c>
      <c r="F11" s="2">
        <f t="shared" si="1"/>
        <v>22.516668055497576</v>
      </c>
      <c r="G11">
        <f t="shared" si="2"/>
        <v>0.22445681559078046</v>
      </c>
      <c r="H11">
        <v>1</v>
      </c>
      <c r="I11">
        <v>1</v>
      </c>
      <c r="J11">
        <f t="shared" si="3"/>
        <v>81.864871609731566</v>
      </c>
      <c r="K11">
        <f t="shared" si="4"/>
        <v>18.375128390268436</v>
      </c>
      <c r="L11">
        <f t="shared" si="5"/>
        <v>100.24000000000001</v>
      </c>
      <c r="M11">
        <f t="shared" si="6"/>
        <v>18.375128390268436</v>
      </c>
      <c r="N11">
        <f t="shared" si="7"/>
        <v>81.864871609731566</v>
      </c>
      <c r="O11">
        <v>0.79459999999999997</v>
      </c>
      <c r="P11">
        <f t="shared" si="8"/>
        <v>103.02651851212129</v>
      </c>
      <c r="Q11">
        <f>SUM($P$2:P11)</f>
        <v>1410.6239994018167</v>
      </c>
      <c r="R11">
        <f t="shared" si="9"/>
        <v>705.31199970090836</v>
      </c>
    </row>
    <row r="12" spans="1:19" x14ac:dyDescent="0.25">
      <c r="A12" t="s">
        <v>131</v>
      </c>
      <c r="B12" s="1">
        <v>43312.628472164353</v>
      </c>
      <c r="C12" s="1">
        <v>43313.589583275461</v>
      </c>
      <c r="D12" s="3">
        <v>40.56</v>
      </c>
      <c r="E12">
        <f t="shared" si="0"/>
        <v>32.68</v>
      </c>
      <c r="F12" s="2">
        <f t="shared" si="1"/>
        <v>23.066666666592937</v>
      </c>
      <c r="G12">
        <f t="shared" si="2"/>
        <v>0.22925721206242822</v>
      </c>
      <c r="H12">
        <v>1</v>
      </c>
      <c r="I12">
        <v>1</v>
      </c>
      <c r="J12">
        <f t="shared" si="3"/>
        <v>26.585160273471178</v>
      </c>
      <c r="K12">
        <f t="shared" si="4"/>
        <v>6.0948397265288241</v>
      </c>
      <c r="L12">
        <f t="shared" si="5"/>
        <v>32.68</v>
      </c>
      <c r="M12">
        <f t="shared" si="6"/>
        <v>6.0948397265288241</v>
      </c>
      <c r="N12">
        <f t="shared" si="7"/>
        <v>26.585160273471178</v>
      </c>
      <c r="O12">
        <v>0.75760000000000005</v>
      </c>
      <c r="P12">
        <f t="shared" si="8"/>
        <v>35.091288639745478</v>
      </c>
      <c r="Q12">
        <f>SUM($P$2:P12)</f>
        <v>1445.7152880415622</v>
      </c>
      <c r="R12">
        <f t="shared" si="9"/>
        <v>722.85764402078109</v>
      </c>
    </row>
    <row r="13" spans="1:19" x14ac:dyDescent="0.25">
      <c r="A13" t="s">
        <v>132</v>
      </c>
      <c r="B13" s="1">
        <v>43312.628472164353</v>
      </c>
      <c r="C13" s="1">
        <v>43313.61249994213</v>
      </c>
      <c r="D13" s="3">
        <v>21.53</v>
      </c>
      <c r="E13">
        <f t="shared" si="0"/>
        <v>13.650000000000002</v>
      </c>
      <c r="F13" s="2">
        <f t="shared" si="1"/>
        <v>23.616666666639503</v>
      </c>
      <c r="G13">
        <f t="shared" si="2"/>
        <v>0.23402790742629276</v>
      </c>
      <c r="H13">
        <v>1</v>
      </c>
      <c r="I13">
        <v>1</v>
      </c>
      <c r="J13">
        <f t="shared" si="3"/>
        <v>11.061338173841342</v>
      </c>
      <c r="K13">
        <f t="shared" si="4"/>
        <v>2.5886618261586598</v>
      </c>
      <c r="L13">
        <f t="shared" si="5"/>
        <v>13.650000000000002</v>
      </c>
      <c r="M13">
        <f t="shared" si="6"/>
        <v>2.5886618261586598</v>
      </c>
      <c r="N13">
        <f t="shared" si="7"/>
        <v>11.061338173841342</v>
      </c>
      <c r="O13">
        <v>0.77970000000000006</v>
      </c>
      <c r="P13">
        <f t="shared" si="8"/>
        <v>14.186659194358525</v>
      </c>
      <c r="Q13">
        <f>SUM($P$2:P13)</f>
        <v>1459.9019472359207</v>
      </c>
      <c r="R13">
        <f t="shared" si="9"/>
        <v>729.95097361796036</v>
      </c>
    </row>
    <row r="14" spans="1:19" x14ac:dyDescent="0.25">
      <c r="A14" t="s">
        <v>133</v>
      </c>
      <c r="B14" s="1">
        <v>43312.628472164353</v>
      </c>
      <c r="C14" s="1">
        <v>43313.635416608799</v>
      </c>
      <c r="D14" s="3">
        <v>13.78</v>
      </c>
      <c r="E14">
        <f t="shared" si="0"/>
        <v>5.8999999999999995</v>
      </c>
      <c r="F14" s="2">
        <f t="shared" si="1"/>
        <v>24.166666666686069</v>
      </c>
      <c r="G14">
        <f t="shared" si="2"/>
        <v>0.23876907343923648</v>
      </c>
      <c r="H14">
        <v>1</v>
      </c>
      <c r="I14">
        <v>1</v>
      </c>
      <c r="J14">
        <f t="shared" si="3"/>
        <v>4.7627924578546592</v>
      </c>
      <c r="K14">
        <f t="shared" si="4"/>
        <v>1.1372075421453407</v>
      </c>
      <c r="L14">
        <f t="shared" si="5"/>
        <v>5.9</v>
      </c>
      <c r="M14">
        <f t="shared" si="6"/>
        <v>1.1372075421453407</v>
      </c>
      <c r="N14">
        <f t="shared" si="7"/>
        <v>4.7627924578546592</v>
      </c>
      <c r="O14">
        <v>0.79710000000000036</v>
      </c>
      <c r="P14">
        <f t="shared" si="8"/>
        <v>5.9751504928549206</v>
      </c>
      <c r="Q14">
        <f>SUM($P$2:P14)</f>
        <v>1465.8770977287757</v>
      </c>
      <c r="R14">
        <f t="shared" si="9"/>
        <v>732.93854886438783</v>
      </c>
    </row>
    <row r="15" spans="1:19" x14ac:dyDescent="0.25">
      <c r="A15" t="s">
        <v>134</v>
      </c>
      <c r="B15" s="1">
        <v>43312.628472164353</v>
      </c>
      <c r="C15" s="1">
        <v>43313.65833327546</v>
      </c>
      <c r="D15" s="3">
        <v>11.12</v>
      </c>
      <c r="E15">
        <f t="shared" si="0"/>
        <v>3.2399999999999993</v>
      </c>
      <c r="F15" s="2">
        <f t="shared" si="1"/>
        <v>24.716666666558012</v>
      </c>
      <c r="G15">
        <f t="shared" si="2"/>
        <v>0.2434808928786919</v>
      </c>
      <c r="H15">
        <v>1</v>
      </c>
      <c r="I15">
        <v>1</v>
      </c>
      <c r="J15">
        <f t="shared" si="3"/>
        <v>2.6055888904728661</v>
      </c>
      <c r="K15">
        <f t="shared" si="4"/>
        <v>0.63441110952713364</v>
      </c>
      <c r="L15">
        <f t="shared" si="5"/>
        <v>3.2399999999999998</v>
      </c>
      <c r="M15">
        <f t="shared" si="6"/>
        <v>0.63441110952713364</v>
      </c>
      <c r="N15">
        <f t="shared" si="7"/>
        <v>2.6055888904728661</v>
      </c>
      <c r="O15">
        <v>0.77899999999999991</v>
      </c>
      <c r="P15">
        <f t="shared" si="8"/>
        <v>3.3447867656904577</v>
      </c>
      <c r="Q15">
        <f>SUM($P$2:P15)</f>
        <v>1469.2218844944662</v>
      </c>
      <c r="R15">
        <f t="shared" si="9"/>
        <v>734.61094224723308</v>
      </c>
    </row>
    <row r="16" spans="1:19" x14ac:dyDescent="0.25">
      <c r="A16" t="s">
        <v>135</v>
      </c>
      <c r="B16" s="1">
        <v>43312.628472164353</v>
      </c>
      <c r="C16" s="1">
        <v>43313.681249942128</v>
      </c>
      <c r="D16" s="3">
        <v>10.74</v>
      </c>
      <c r="E16">
        <f t="shared" si="0"/>
        <v>2.8600000000000003</v>
      </c>
      <c r="F16" s="2">
        <f t="shared" si="1"/>
        <v>25.266666666604578</v>
      </c>
      <c r="G16">
        <f t="shared" si="2"/>
        <v>0.24816354739522162</v>
      </c>
      <c r="H16">
        <v>1</v>
      </c>
      <c r="I16">
        <v>1</v>
      </c>
      <c r="J16">
        <f t="shared" si="3"/>
        <v>2.2913663886183042</v>
      </c>
      <c r="K16">
        <f t="shared" si="4"/>
        <v>0.56863361138169632</v>
      </c>
      <c r="L16">
        <f t="shared" si="5"/>
        <v>2.8600000000000003</v>
      </c>
      <c r="M16">
        <f t="shared" si="6"/>
        <v>0.56863361138169632</v>
      </c>
      <c r="N16">
        <f t="shared" si="7"/>
        <v>2.2913663886183042</v>
      </c>
      <c r="O16">
        <v>0.75570000000000004</v>
      </c>
      <c r="P16">
        <f t="shared" si="8"/>
        <v>3.0321111401591954</v>
      </c>
      <c r="Q16">
        <f>SUM($P$2:P16)</f>
        <v>1472.2539956346254</v>
      </c>
      <c r="R16">
        <f t="shared" si="9"/>
        <v>736.12699781731271</v>
      </c>
    </row>
    <row r="17" spans="1:18" x14ac:dyDescent="0.25">
      <c r="A17" t="s">
        <v>136</v>
      </c>
      <c r="B17" s="1">
        <v>43312.628472164353</v>
      </c>
      <c r="C17" s="1">
        <v>43313.704166608797</v>
      </c>
      <c r="D17" s="3">
        <v>10.54</v>
      </c>
      <c r="E17">
        <f t="shared" si="0"/>
        <v>2.6599999999999993</v>
      </c>
      <c r="F17" s="2">
        <f>(C17-B17)*24</f>
        <v>25.816666666651145</v>
      </c>
      <c r="G17">
        <f>1-EXP(-$S$3*F17)</f>
        <v>0.25281721751054487</v>
      </c>
      <c r="H17">
        <v>1</v>
      </c>
      <c r="I17">
        <v>1</v>
      </c>
      <c r="J17">
        <f>E17/((1+G17)*(H17/I17))</f>
        <v>2.1232147537736168</v>
      </c>
      <c r="K17">
        <f>N17*G17*H17</f>
        <v>0.53678524622638246</v>
      </c>
      <c r="L17">
        <f>M17+N17</f>
        <v>2.6599999999999993</v>
      </c>
      <c r="M17">
        <f>K17/H17</f>
        <v>0.53678524622638246</v>
      </c>
      <c r="N17">
        <f>J17/I17</f>
        <v>2.1232147537736168</v>
      </c>
      <c r="O17">
        <v>0.79570000000000007</v>
      </c>
      <c r="P17">
        <f t="shared" si="8"/>
        <v>2.6683608819575424</v>
      </c>
      <c r="Q17">
        <f>SUM($P$2:P17)</f>
        <v>1474.922356516583</v>
      </c>
      <c r="R17">
        <f t="shared" si="9"/>
        <v>737.46117825829151</v>
      </c>
    </row>
    <row r="18" spans="1:18" x14ac:dyDescent="0.25">
      <c r="A18" t="s">
        <v>137</v>
      </c>
      <c r="B18" s="1">
        <v>43312.628472164353</v>
      </c>
      <c r="C18" s="1">
        <v>43313.727083275466</v>
      </c>
      <c r="D18" s="3">
        <v>8.66</v>
      </c>
      <c r="E18">
        <f t="shared" si="0"/>
        <v>0.78000000000000025</v>
      </c>
      <c r="F18" s="2">
        <f t="shared" si="1"/>
        <v>26.366666666697711</v>
      </c>
      <c r="G18">
        <f t="shared" si="2"/>
        <v>0.25744208263049029</v>
      </c>
      <c r="H18">
        <v>1</v>
      </c>
      <c r="I18">
        <v>1</v>
      </c>
      <c r="J18">
        <f t="shared" si="3"/>
        <v>0.6203068998361253</v>
      </c>
      <c r="K18">
        <f t="shared" si="4"/>
        <v>0.15969310016387503</v>
      </c>
      <c r="L18">
        <f t="shared" si="5"/>
        <v>0.78000000000000036</v>
      </c>
      <c r="M18">
        <f t="shared" si="6"/>
        <v>0.15969310016387503</v>
      </c>
      <c r="N18">
        <f t="shared" si="7"/>
        <v>0.6203068998361253</v>
      </c>
      <c r="O18">
        <v>0.76370000000000005</v>
      </c>
      <c r="P18">
        <f t="shared" si="8"/>
        <v>0.81223896796664297</v>
      </c>
      <c r="Q18">
        <f>SUM($P$2:P18)</f>
        <v>1475.7345954845496</v>
      </c>
      <c r="R18">
        <f t="shared" si="9"/>
        <v>737.86729774227479</v>
      </c>
    </row>
    <row r="19" spans="1:18" x14ac:dyDescent="0.25">
      <c r="A19" t="s">
        <v>138</v>
      </c>
      <c r="B19" s="1">
        <v>43312.628472164353</v>
      </c>
      <c r="C19" s="1">
        <v>43313.749999942127</v>
      </c>
      <c r="D19" s="3">
        <v>9.24</v>
      </c>
      <c r="E19">
        <f t="shared" si="0"/>
        <v>1.3600000000000003</v>
      </c>
      <c r="F19" s="2">
        <f t="shared" si="1"/>
        <v>26.916666666569654</v>
      </c>
      <c r="G19">
        <f t="shared" si="2"/>
        <v>0.26203832104895641</v>
      </c>
      <c r="H19">
        <v>1</v>
      </c>
      <c r="I19">
        <v>1</v>
      </c>
      <c r="J19">
        <f t="shared" si="3"/>
        <v>1.0776217942967232</v>
      </c>
      <c r="K19">
        <f t="shared" si="4"/>
        <v>0.28237820570327721</v>
      </c>
      <c r="L19">
        <f t="shared" si="5"/>
        <v>1.3600000000000003</v>
      </c>
      <c r="M19">
        <f t="shared" si="6"/>
        <v>0.28237820570327721</v>
      </c>
      <c r="N19">
        <f t="shared" si="7"/>
        <v>1.0776217942967232</v>
      </c>
      <c r="O19">
        <v>0.80159999999999965</v>
      </c>
      <c r="P19">
        <f t="shared" si="8"/>
        <v>1.3443385657394258</v>
      </c>
      <c r="Q19">
        <f>SUM($P$2:P19)</f>
        <v>1477.078934050289</v>
      </c>
      <c r="R19">
        <f t="shared" si="9"/>
        <v>738.53946702514452</v>
      </c>
    </row>
    <row r="20" spans="1:18" x14ac:dyDescent="0.25">
      <c r="A20" t="s">
        <v>139</v>
      </c>
      <c r="B20" s="1">
        <v>43312.628472164353</v>
      </c>
      <c r="C20" s="1">
        <v>43313.772916608796</v>
      </c>
      <c r="D20" s="3">
        <v>9.3800000000000008</v>
      </c>
      <c r="E20">
        <f t="shared" si="0"/>
        <v>1.5000000000000009</v>
      </c>
      <c r="F20" s="2">
        <f t="shared" si="1"/>
        <v>27.46666666661622</v>
      </c>
      <c r="G20">
        <f t="shared" si="2"/>
        <v>0.26660610996061429</v>
      </c>
      <c r="H20">
        <v>1</v>
      </c>
      <c r="I20">
        <v>1</v>
      </c>
      <c r="J20">
        <f t="shared" si="3"/>
        <v>1.1842671436715586</v>
      </c>
      <c r="K20">
        <f t="shared" si="4"/>
        <v>0.31573285632844217</v>
      </c>
      <c r="L20">
        <f t="shared" si="5"/>
        <v>1.5000000000000009</v>
      </c>
      <c r="M20">
        <f t="shared" si="6"/>
        <v>0.31573285632844217</v>
      </c>
      <c r="N20">
        <f t="shared" si="7"/>
        <v>1.1842671436715586</v>
      </c>
      <c r="O20">
        <v>0.75019999999999953</v>
      </c>
      <c r="P20">
        <f t="shared" si="8"/>
        <v>1.5786018977226863</v>
      </c>
      <c r="Q20">
        <f>SUM($P$2:P20)</f>
        <v>1478.6575359480116</v>
      </c>
      <c r="R20">
        <f t="shared" si="9"/>
        <v>739.32876797400581</v>
      </c>
    </row>
    <row r="21" spans="1:18" x14ac:dyDescent="0.25">
      <c r="A21" t="s">
        <v>140</v>
      </c>
      <c r="B21" s="1">
        <v>43312.628472164353</v>
      </c>
      <c r="C21" s="1">
        <v>43313.795833275464</v>
      </c>
      <c r="D21" s="3">
        <v>8.18</v>
      </c>
      <c r="E21">
        <f t="shared" si="0"/>
        <v>0.29999999999999982</v>
      </c>
      <c r="F21" s="2">
        <f t="shared" si="1"/>
        <v>28.016666666662786</v>
      </c>
      <c r="G21">
        <f t="shared" si="2"/>
        <v>0.27114562545898169</v>
      </c>
      <c r="H21">
        <v>1</v>
      </c>
      <c r="I21">
        <v>1</v>
      </c>
      <c r="J21">
        <f t="shared" si="3"/>
        <v>0.23600757772476041</v>
      </c>
      <c r="K21">
        <f t="shared" si="4"/>
        <v>6.3992422275239394E-2</v>
      </c>
      <c r="L21">
        <f t="shared" si="5"/>
        <v>0.29999999999999982</v>
      </c>
      <c r="M21">
        <f t="shared" si="6"/>
        <v>6.3992422275239394E-2</v>
      </c>
      <c r="N21">
        <f t="shared" si="7"/>
        <v>0.23600757772476041</v>
      </c>
      <c r="O21">
        <v>0.78990000000000027</v>
      </c>
      <c r="P21">
        <f t="shared" si="8"/>
        <v>0.29878158972624425</v>
      </c>
      <c r="Q21">
        <f>SUM($P$2:P21)</f>
        <v>1478.956317537738</v>
      </c>
      <c r="R21">
        <f t="shared" si="9"/>
        <v>739.47815876886898</v>
      </c>
    </row>
    <row r="22" spans="1:18" x14ac:dyDescent="0.25">
      <c r="A22" t="s">
        <v>15</v>
      </c>
      <c r="B22" s="1">
        <v>43312.628472164353</v>
      </c>
      <c r="C22" s="1">
        <v>43313.818749942133</v>
      </c>
      <c r="D22" s="3">
        <v>7.88</v>
      </c>
      <c r="E22">
        <f t="shared" si="0"/>
        <v>0</v>
      </c>
      <c r="F22" s="2">
        <f>(C22-B22)*24</f>
        <v>28.566666666709352</v>
      </c>
      <c r="G22">
        <f>1-EXP(-$S$3*F22)</f>
        <v>0.27565704254905887</v>
      </c>
      <c r="H22">
        <v>1</v>
      </c>
      <c r="I22">
        <v>1</v>
      </c>
      <c r="J22">
        <f>E22/((1+G22)*(H22/I22))</f>
        <v>0</v>
      </c>
      <c r="K22">
        <f>N22*G22*H22</f>
        <v>0</v>
      </c>
      <c r="L22">
        <f>M22+N22</f>
        <v>0</v>
      </c>
      <c r="M22">
        <f>K22/H22</f>
        <v>0</v>
      </c>
      <c r="N22">
        <f>J22/I22</f>
        <v>0</v>
      </c>
    </row>
    <row r="27" spans="1:18" x14ac:dyDescent="0.25">
      <c r="E27" t="s">
        <v>141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E1" zoomScale="90" zoomScaleNormal="90" workbookViewId="0">
      <selection activeCell="S13" sqref="S1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42578125" bestFit="1" customWidth="1"/>
    <col min="17" max="17" width="24.7109375" bestFit="1" customWidth="1"/>
    <col min="18" max="18" width="24.7109375" customWidth="1"/>
    <col min="19" max="19" width="22.140625" bestFit="1" customWidth="1"/>
  </cols>
  <sheetData>
    <row r="1" spans="1:1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142</v>
      </c>
      <c r="P1" t="s">
        <v>143</v>
      </c>
      <c r="Q1" t="s">
        <v>145</v>
      </c>
      <c r="R1" t="s">
        <v>146</v>
      </c>
    </row>
    <row r="2" spans="1:19" x14ac:dyDescent="0.25">
      <c r="A2" t="s">
        <v>100</v>
      </c>
      <c r="B2" s="1">
        <v>43313.583333333336</v>
      </c>
      <c r="C2" s="1">
        <v>43315.59097222222</v>
      </c>
      <c r="D2" s="3">
        <v>11.36</v>
      </c>
      <c r="E2">
        <f t="shared" ref="E2:E22" si="0">D2-$D$22</f>
        <v>3.6899999999999995</v>
      </c>
      <c r="F2" s="2">
        <f>(C2-B2)*24</f>
        <v>48.18333333323244</v>
      </c>
      <c r="G2">
        <f>1-EXP(-$S$3*F2)</f>
        <v>0.41954539172059258</v>
      </c>
      <c r="H2">
        <v>1</v>
      </c>
      <c r="I2">
        <v>1</v>
      </c>
      <c r="J2">
        <f>E2/((1+G2)*(H2/I2))</f>
        <v>2.5994237461666865</v>
      </c>
      <c r="K2">
        <f>N2*G2*H2</f>
        <v>1.0905762538333126</v>
      </c>
      <c r="L2">
        <f>M2+N2</f>
        <v>3.6899999999999991</v>
      </c>
      <c r="M2">
        <f>K2/H2</f>
        <v>1.0905762538333126</v>
      </c>
      <c r="N2">
        <f>J2/I2</f>
        <v>2.5994237461666865</v>
      </c>
      <c r="O2">
        <v>0.8783000000000003</v>
      </c>
      <c r="P2">
        <f>N2/O2</f>
        <v>2.959608045276882</v>
      </c>
      <c r="Q2">
        <f>SUM($P$2:P2)</f>
        <v>2.959608045276882</v>
      </c>
      <c r="R2">
        <f>Q2/2</f>
        <v>1.479804022638441</v>
      </c>
      <c r="S2" t="s">
        <v>2</v>
      </c>
    </row>
    <row r="3" spans="1:19" x14ac:dyDescent="0.25">
      <c r="A3" t="s">
        <v>101</v>
      </c>
      <c r="B3" s="1">
        <v>43313.583333333336</v>
      </c>
      <c r="C3" s="1">
        <v>43315.613888888889</v>
      </c>
      <c r="D3" s="3">
        <v>12.28</v>
      </c>
      <c r="E3">
        <f t="shared" si="0"/>
        <v>4.6099999999999994</v>
      </c>
      <c r="F3" s="2">
        <f t="shared" ref="F3:F21" si="1">(C3-B3)*24</f>
        <v>48.733333333279006</v>
      </c>
      <c r="G3">
        <f t="shared" ref="G3:G21" si="2">1-EXP(-$S$3*F3)</f>
        <v>0.42313825324585241</v>
      </c>
      <c r="H3">
        <v>1</v>
      </c>
      <c r="I3">
        <v>1</v>
      </c>
      <c r="J3">
        <f t="shared" ref="J3:J21" si="3">E3/((1+G3)*(H3/I3))</f>
        <v>3.239319854895085</v>
      </c>
      <c r="K3">
        <f t="shared" ref="K3:K21" si="4">N3*G3*H3</f>
        <v>1.3706801451049144</v>
      </c>
      <c r="L3">
        <f t="shared" ref="L3:L21" si="5">M3+N3</f>
        <v>4.6099999999999994</v>
      </c>
      <c r="M3">
        <f t="shared" ref="M3:M21" si="6">K3/H3</f>
        <v>1.3706801451049144</v>
      </c>
      <c r="N3">
        <f t="shared" ref="N3:N21" si="7">J3/I3</f>
        <v>3.239319854895085</v>
      </c>
      <c r="O3">
        <v>1.0643000000000002</v>
      </c>
      <c r="P3">
        <f t="shared" ref="P3:P21" si="8">N3/O3</f>
        <v>3.0436153856009436</v>
      </c>
      <c r="Q3">
        <f>SUM($P$2:P3)</f>
        <v>6.0032234308778261</v>
      </c>
      <c r="R3">
        <f t="shared" ref="R3:R21" si="9">Q3/2</f>
        <v>3.001611715438913</v>
      </c>
      <c r="S3">
        <f>LN(2)/61.4</f>
        <v>1.1289042028663604E-2</v>
      </c>
    </row>
    <row r="4" spans="1:19" x14ac:dyDescent="0.25">
      <c r="A4" t="s">
        <v>102</v>
      </c>
      <c r="B4" s="1">
        <v>43313.583333333336</v>
      </c>
      <c r="C4" s="1">
        <v>43315.636805613423</v>
      </c>
      <c r="D4" s="3">
        <v>11.08</v>
      </c>
      <c r="E4">
        <f t="shared" si="0"/>
        <v>3.41</v>
      </c>
      <c r="F4" s="2">
        <f t="shared" si="1"/>
        <v>49.283334722102154</v>
      </c>
      <c r="G4">
        <f t="shared" si="2"/>
        <v>0.42670888489023939</v>
      </c>
      <c r="H4">
        <v>1</v>
      </c>
      <c r="I4">
        <v>1</v>
      </c>
      <c r="J4">
        <f t="shared" si="3"/>
        <v>2.390116187061063</v>
      </c>
      <c r="K4">
        <f t="shared" si="4"/>
        <v>1.0198838129389369</v>
      </c>
      <c r="L4">
        <f t="shared" si="5"/>
        <v>3.41</v>
      </c>
      <c r="M4">
        <f t="shared" si="6"/>
        <v>1.0198838129389369</v>
      </c>
      <c r="N4">
        <f t="shared" si="7"/>
        <v>2.390116187061063</v>
      </c>
      <c r="O4">
        <v>0.97100000000000009</v>
      </c>
      <c r="P4">
        <f t="shared" si="8"/>
        <v>2.4614996777147917</v>
      </c>
      <c r="Q4">
        <f>SUM($P$2:P4)</f>
        <v>8.4647231085926187</v>
      </c>
      <c r="R4">
        <f t="shared" si="9"/>
        <v>4.2323615542963093</v>
      </c>
    </row>
    <row r="5" spans="1:19" x14ac:dyDescent="0.25">
      <c r="A5" t="s">
        <v>103</v>
      </c>
      <c r="B5" s="1">
        <v>43313.583333333336</v>
      </c>
      <c r="C5" s="1">
        <v>43315.659722337965</v>
      </c>
      <c r="D5" s="3">
        <v>22.04</v>
      </c>
      <c r="E5">
        <f t="shared" si="0"/>
        <v>14.37</v>
      </c>
      <c r="F5" s="2">
        <f t="shared" si="1"/>
        <v>49.833336111099925</v>
      </c>
      <c r="G5">
        <f t="shared" si="2"/>
        <v>0.4302574152083315</v>
      </c>
      <c r="H5">
        <v>1</v>
      </c>
      <c r="I5">
        <v>1</v>
      </c>
      <c r="J5">
        <f t="shared" si="3"/>
        <v>10.04714245645555</v>
      </c>
      <c r="K5">
        <f t="shared" si="4"/>
        <v>4.3228575435444512</v>
      </c>
      <c r="L5">
        <f t="shared" si="5"/>
        <v>14.370000000000001</v>
      </c>
      <c r="M5">
        <f t="shared" si="6"/>
        <v>4.3228575435444512</v>
      </c>
      <c r="N5">
        <f t="shared" si="7"/>
        <v>10.04714245645555</v>
      </c>
      <c r="O5">
        <v>0.8879999999999999</v>
      </c>
      <c r="P5">
        <f t="shared" si="8"/>
        <v>11.31434961312562</v>
      </c>
      <c r="Q5">
        <f>SUM($P$2:P5)</f>
        <v>19.779072721718236</v>
      </c>
      <c r="R5">
        <f t="shared" si="9"/>
        <v>9.8895363608591182</v>
      </c>
    </row>
    <row r="6" spans="1:19" x14ac:dyDescent="0.25">
      <c r="A6" t="s">
        <v>104</v>
      </c>
      <c r="B6" s="1">
        <v>43313.583333333336</v>
      </c>
      <c r="C6" s="1">
        <v>43315.682639062499</v>
      </c>
      <c r="D6" s="3">
        <v>199.6</v>
      </c>
      <c r="E6">
        <f t="shared" si="0"/>
        <v>191.93</v>
      </c>
      <c r="F6" s="2">
        <f t="shared" si="1"/>
        <v>50.383337499923073</v>
      </c>
      <c r="G6">
        <f t="shared" si="2"/>
        <v>0.43378398099963023</v>
      </c>
      <c r="H6">
        <v>1</v>
      </c>
      <c r="I6">
        <v>1</v>
      </c>
      <c r="J6">
        <f t="shared" si="3"/>
        <v>133.86256405667675</v>
      </c>
      <c r="K6">
        <f t="shared" si="4"/>
        <v>58.067435943323247</v>
      </c>
      <c r="L6">
        <f t="shared" si="5"/>
        <v>191.93</v>
      </c>
      <c r="M6">
        <f t="shared" si="6"/>
        <v>58.067435943323247</v>
      </c>
      <c r="N6">
        <f t="shared" si="7"/>
        <v>133.86256405667675</v>
      </c>
      <c r="O6">
        <v>0.7444999999999995</v>
      </c>
      <c r="P6">
        <f t="shared" si="8"/>
        <v>179.80196649654377</v>
      </c>
      <c r="Q6">
        <f>SUM($P$2:P6)</f>
        <v>199.58103921826199</v>
      </c>
      <c r="R6">
        <f t="shared" si="9"/>
        <v>99.790519609130996</v>
      </c>
    </row>
    <row r="7" spans="1:19" x14ac:dyDescent="0.25">
      <c r="A7" t="s">
        <v>105</v>
      </c>
      <c r="B7" s="1">
        <v>43313.583333333336</v>
      </c>
      <c r="C7" s="1">
        <v>43315.705555787034</v>
      </c>
      <c r="D7" s="3">
        <v>516.99</v>
      </c>
      <c r="E7">
        <f t="shared" si="0"/>
        <v>509.32</v>
      </c>
      <c r="F7" s="2">
        <f t="shared" si="1"/>
        <v>50.933338888746221</v>
      </c>
      <c r="G7">
        <f t="shared" si="2"/>
        <v>0.43728871822025095</v>
      </c>
      <c r="H7">
        <v>1</v>
      </c>
      <c r="I7">
        <v>1</v>
      </c>
      <c r="J7">
        <f t="shared" si="3"/>
        <v>354.36164880684152</v>
      </c>
      <c r="K7">
        <f t="shared" si="4"/>
        <v>154.95835119315845</v>
      </c>
      <c r="L7">
        <f t="shared" si="5"/>
        <v>509.31999999999994</v>
      </c>
      <c r="M7">
        <f t="shared" si="6"/>
        <v>154.95835119315845</v>
      </c>
      <c r="N7">
        <f t="shared" si="7"/>
        <v>354.36164880684152</v>
      </c>
      <c r="O7">
        <v>0.79689999999999994</v>
      </c>
      <c r="P7">
        <f t="shared" si="8"/>
        <v>444.67517732066955</v>
      </c>
      <c r="Q7">
        <f>SUM($P$2:P7)</f>
        <v>644.25621653893154</v>
      </c>
      <c r="R7">
        <f t="shared" si="9"/>
        <v>322.12810826946577</v>
      </c>
    </row>
    <row r="8" spans="1:19" x14ac:dyDescent="0.25">
      <c r="A8" t="s">
        <v>106</v>
      </c>
      <c r="B8" s="1">
        <v>43313.583333333336</v>
      </c>
      <c r="C8" s="1">
        <v>43315.727083333331</v>
      </c>
      <c r="D8" s="3">
        <v>438.3</v>
      </c>
      <c r="E8">
        <f t="shared" si="0"/>
        <v>430.63</v>
      </c>
      <c r="F8" s="2">
        <f t="shared" si="1"/>
        <v>51.449999999895226</v>
      </c>
      <c r="G8">
        <f t="shared" si="2"/>
        <v>0.44056124015796372</v>
      </c>
      <c r="H8">
        <v>1</v>
      </c>
      <c r="I8">
        <v>1</v>
      </c>
      <c r="J8">
        <f t="shared" si="3"/>
        <v>298.93210229145103</v>
      </c>
      <c r="K8">
        <f t="shared" si="4"/>
        <v>131.69789770854894</v>
      </c>
      <c r="L8">
        <f t="shared" si="5"/>
        <v>430.63</v>
      </c>
      <c r="M8">
        <f t="shared" si="6"/>
        <v>131.69789770854894</v>
      </c>
      <c r="N8">
        <f t="shared" si="7"/>
        <v>298.93210229145103</v>
      </c>
      <c r="O8">
        <v>0.81539999999999946</v>
      </c>
      <c r="P8">
        <f t="shared" si="8"/>
        <v>366.6079253022458</v>
      </c>
      <c r="Q8">
        <f>SUM($P$2:P8)</f>
        <v>1010.8641418411773</v>
      </c>
      <c r="R8">
        <f t="shared" si="9"/>
        <v>505.43207092058867</v>
      </c>
    </row>
    <row r="9" spans="1:19" x14ac:dyDescent="0.25">
      <c r="A9" t="s">
        <v>107</v>
      </c>
      <c r="B9" s="1">
        <v>43313.583333333336</v>
      </c>
      <c r="C9" s="1">
        <v>43315.75</v>
      </c>
      <c r="D9" s="3">
        <v>239.12</v>
      </c>
      <c r="E9">
        <f t="shared" si="0"/>
        <v>231.45000000000002</v>
      </c>
      <c r="F9" s="2">
        <f t="shared" si="1"/>
        <v>51.999999999941792</v>
      </c>
      <c r="G9">
        <f t="shared" si="2"/>
        <v>0.44402401910278688</v>
      </c>
      <c r="H9">
        <v>1</v>
      </c>
      <c r="I9">
        <v>1</v>
      </c>
      <c r="J9">
        <f t="shared" si="3"/>
        <v>160.28126744304882</v>
      </c>
      <c r="K9">
        <f t="shared" si="4"/>
        <v>71.168732556951198</v>
      </c>
      <c r="L9">
        <f t="shared" si="5"/>
        <v>231.45000000000002</v>
      </c>
      <c r="M9">
        <f t="shared" si="6"/>
        <v>71.168732556951198</v>
      </c>
      <c r="N9">
        <f t="shared" si="7"/>
        <v>160.28126744304882</v>
      </c>
      <c r="O9">
        <v>0.78160000000000007</v>
      </c>
      <c r="P9">
        <f t="shared" si="8"/>
        <v>205.06815179509826</v>
      </c>
      <c r="Q9">
        <f>SUM($P$2:P9)</f>
        <v>1215.9322936362755</v>
      </c>
      <c r="R9">
        <f t="shared" si="9"/>
        <v>607.96614681813776</v>
      </c>
    </row>
    <row r="10" spans="1:19" x14ac:dyDescent="0.25">
      <c r="A10" t="s">
        <v>108</v>
      </c>
      <c r="B10" s="1">
        <v>43313.583333333336</v>
      </c>
      <c r="C10" s="1">
        <v>43315.772916724534</v>
      </c>
      <c r="D10" s="3">
        <v>130.61000000000001</v>
      </c>
      <c r="E10">
        <f t="shared" si="0"/>
        <v>122.94000000000001</v>
      </c>
      <c r="F10" s="2">
        <f t="shared" si="1"/>
        <v>52.55000138876494</v>
      </c>
      <c r="G10">
        <f t="shared" si="2"/>
        <v>0.44746537301831479</v>
      </c>
      <c r="H10">
        <v>1</v>
      </c>
      <c r="I10">
        <v>1</v>
      </c>
      <c r="J10">
        <f t="shared" si="3"/>
        <v>84.934674287676003</v>
      </c>
      <c r="K10">
        <f t="shared" si="4"/>
        <v>38.005325712324016</v>
      </c>
      <c r="L10">
        <f t="shared" si="5"/>
        <v>122.94000000000003</v>
      </c>
      <c r="M10">
        <f t="shared" si="6"/>
        <v>38.005325712324016</v>
      </c>
      <c r="N10">
        <f t="shared" si="7"/>
        <v>84.934674287676003</v>
      </c>
      <c r="O10">
        <v>0.79399999999999959</v>
      </c>
      <c r="P10">
        <f t="shared" si="8"/>
        <v>106.97062252855925</v>
      </c>
      <c r="Q10">
        <f>SUM($P$2:P10)</f>
        <v>1322.9029161648348</v>
      </c>
      <c r="R10">
        <f t="shared" si="9"/>
        <v>661.45145808241739</v>
      </c>
    </row>
    <row r="11" spans="1:19" x14ac:dyDescent="0.25">
      <c r="A11" t="s">
        <v>109</v>
      </c>
      <c r="B11" s="1">
        <v>43313.583333333336</v>
      </c>
      <c r="C11" s="1">
        <v>43315.795833449076</v>
      </c>
      <c r="D11" s="3">
        <v>66.63</v>
      </c>
      <c r="E11">
        <f t="shared" si="0"/>
        <v>58.959999999999994</v>
      </c>
      <c r="F11" s="2">
        <f t="shared" si="1"/>
        <v>53.100002777762711</v>
      </c>
      <c r="G11">
        <f t="shared" si="2"/>
        <v>0.45088542580469881</v>
      </c>
      <c r="H11">
        <v>1</v>
      </c>
      <c r="I11">
        <v>1</v>
      </c>
      <c r="J11">
        <f t="shared" si="3"/>
        <v>40.637254294079938</v>
      </c>
      <c r="K11">
        <f t="shared" si="4"/>
        <v>18.32274570592006</v>
      </c>
      <c r="L11">
        <f t="shared" si="5"/>
        <v>58.959999999999994</v>
      </c>
      <c r="M11">
        <f t="shared" si="6"/>
        <v>18.32274570592006</v>
      </c>
      <c r="N11">
        <f t="shared" si="7"/>
        <v>40.637254294079938</v>
      </c>
      <c r="O11">
        <v>0.75930000000000053</v>
      </c>
      <c r="P11">
        <f t="shared" si="8"/>
        <v>53.519365592097863</v>
      </c>
      <c r="Q11">
        <f>SUM($P$2:P11)</f>
        <v>1376.4222817569325</v>
      </c>
      <c r="R11">
        <f t="shared" si="9"/>
        <v>688.21114087846627</v>
      </c>
    </row>
    <row r="12" spans="1:19" x14ac:dyDescent="0.25">
      <c r="A12" t="s">
        <v>110</v>
      </c>
      <c r="B12" s="1">
        <v>43313.583333333336</v>
      </c>
      <c r="C12" s="1">
        <v>43315.81875017361</v>
      </c>
      <c r="D12" s="3">
        <v>44.39</v>
      </c>
      <c r="E12">
        <f t="shared" si="0"/>
        <v>36.72</v>
      </c>
      <c r="F12" s="2">
        <f t="shared" si="1"/>
        <v>53.650004166585859</v>
      </c>
      <c r="G12">
        <f t="shared" si="2"/>
        <v>0.45428430930849861</v>
      </c>
      <c r="H12">
        <v>1</v>
      </c>
      <c r="I12">
        <v>1</v>
      </c>
      <c r="J12">
        <f t="shared" si="3"/>
        <v>25.249533234295903</v>
      </c>
      <c r="K12">
        <f t="shared" si="4"/>
        <v>11.470466765704096</v>
      </c>
      <c r="L12">
        <f t="shared" si="5"/>
        <v>36.72</v>
      </c>
      <c r="M12">
        <f t="shared" si="6"/>
        <v>11.470466765704096</v>
      </c>
      <c r="N12">
        <f t="shared" si="7"/>
        <v>25.249533234295903</v>
      </c>
      <c r="O12">
        <v>0.84200000000000053</v>
      </c>
      <c r="P12">
        <f t="shared" si="8"/>
        <v>29.987569161871601</v>
      </c>
      <c r="Q12">
        <f>SUM($P$2:P12)</f>
        <v>1406.4098509188041</v>
      </c>
      <c r="R12">
        <f t="shared" si="9"/>
        <v>703.20492545940203</v>
      </c>
    </row>
    <row r="13" spans="1:19" x14ac:dyDescent="0.25">
      <c r="A13" t="s">
        <v>111</v>
      </c>
      <c r="B13" s="1">
        <v>43313.583333333336</v>
      </c>
      <c r="C13" s="1">
        <v>43315.841666898152</v>
      </c>
      <c r="D13" s="3">
        <v>23.3</v>
      </c>
      <c r="E13">
        <f t="shared" si="0"/>
        <v>15.63</v>
      </c>
      <c r="F13" s="2">
        <f t="shared" si="1"/>
        <v>54.20000555558363</v>
      </c>
      <c r="G13">
        <f t="shared" si="2"/>
        <v>0.45766215456449333</v>
      </c>
      <c r="H13">
        <v>1</v>
      </c>
      <c r="I13">
        <v>1</v>
      </c>
      <c r="J13">
        <f t="shared" si="3"/>
        <v>10.722649244241227</v>
      </c>
      <c r="K13">
        <f t="shared" si="4"/>
        <v>4.9073507557587757</v>
      </c>
      <c r="L13">
        <f t="shared" si="5"/>
        <v>15.630000000000003</v>
      </c>
      <c r="M13">
        <f t="shared" si="6"/>
        <v>4.9073507557587757</v>
      </c>
      <c r="N13">
        <f t="shared" si="7"/>
        <v>10.722649244241227</v>
      </c>
      <c r="O13">
        <v>0.75010000000000066</v>
      </c>
      <c r="P13">
        <f t="shared" si="8"/>
        <v>14.294959664366374</v>
      </c>
      <c r="Q13">
        <f>SUM($P$2:P13)</f>
        <v>1420.7048105831705</v>
      </c>
      <c r="R13">
        <f t="shared" si="9"/>
        <v>710.35240529158523</v>
      </c>
    </row>
    <row r="14" spans="1:19" x14ac:dyDescent="0.25">
      <c r="A14" t="s">
        <v>112</v>
      </c>
      <c r="B14" s="1">
        <v>43313.583333333336</v>
      </c>
      <c r="C14" s="1">
        <v>43315.864583622686</v>
      </c>
      <c r="D14" s="3">
        <v>17.739999999999998</v>
      </c>
      <c r="E14">
        <f t="shared" si="0"/>
        <v>10.069999999999999</v>
      </c>
      <c r="F14" s="2">
        <f t="shared" si="1"/>
        <v>54.750006944406778</v>
      </c>
      <c r="G14">
        <f t="shared" si="2"/>
        <v>0.4610190917920991</v>
      </c>
      <c r="H14">
        <v>1</v>
      </c>
      <c r="I14">
        <v>1</v>
      </c>
      <c r="J14">
        <f t="shared" si="3"/>
        <v>6.8924492887002913</v>
      </c>
      <c r="K14">
        <f t="shared" si="4"/>
        <v>3.1775507112997077</v>
      </c>
      <c r="L14">
        <f t="shared" si="5"/>
        <v>10.069999999999999</v>
      </c>
      <c r="M14">
        <f t="shared" si="6"/>
        <v>3.1775507112997077</v>
      </c>
      <c r="N14">
        <f t="shared" si="7"/>
        <v>6.8924492887002913</v>
      </c>
      <c r="O14">
        <v>1.0818000000000003</v>
      </c>
      <c r="P14">
        <f t="shared" si="8"/>
        <v>6.3712786917177748</v>
      </c>
      <c r="Q14">
        <f>SUM($P$2:P14)</f>
        <v>1427.0760892748883</v>
      </c>
      <c r="R14">
        <f t="shared" si="9"/>
        <v>713.53804463744416</v>
      </c>
    </row>
    <row r="15" spans="1:19" x14ac:dyDescent="0.25">
      <c r="A15" t="s">
        <v>113</v>
      </c>
      <c r="B15" s="1">
        <v>43313.583333333336</v>
      </c>
      <c r="C15" s="1">
        <v>43315.88750034722</v>
      </c>
      <c r="D15" s="3">
        <v>13.44</v>
      </c>
      <c r="E15">
        <f t="shared" si="0"/>
        <v>5.77</v>
      </c>
      <c r="F15" s="2">
        <f t="shared" si="1"/>
        <v>55.300008333229925</v>
      </c>
      <c r="G15">
        <f t="shared" si="2"/>
        <v>0.46435525040791337</v>
      </c>
      <c r="H15">
        <v>1</v>
      </c>
      <c r="I15">
        <v>1</v>
      </c>
      <c r="J15">
        <f t="shared" si="3"/>
        <v>3.940300687550168</v>
      </c>
      <c r="K15">
        <f t="shared" si="4"/>
        <v>1.8296993124498315</v>
      </c>
      <c r="L15">
        <f t="shared" si="5"/>
        <v>5.77</v>
      </c>
      <c r="M15">
        <f t="shared" si="6"/>
        <v>1.8296993124498315</v>
      </c>
      <c r="N15">
        <f t="shared" si="7"/>
        <v>3.940300687550168</v>
      </c>
      <c r="O15">
        <v>0.75090000000000057</v>
      </c>
      <c r="P15">
        <f t="shared" si="8"/>
        <v>5.2474373252765547</v>
      </c>
      <c r="Q15">
        <f>SUM($P$2:P15)</f>
        <v>1432.3235266001648</v>
      </c>
      <c r="R15">
        <f t="shared" si="9"/>
        <v>716.16176330008238</v>
      </c>
    </row>
    <row r="16" spans="1:19" x14ac:dyDescent="0.25">
      <c r="A16" t="s">
        <v>114</v>
      </c>
      <c r="B16" s="1">
        <v>43313.583333333336</v>
      </c>
      <c r="C16" s="1">
        <v>43315.910417071762</v>
      </c>
      <c r="D16" s="3">
        <v>12.07</v>
      </c>
      <c r="E16">
        <f t="shared" si="0"/>
        <v>4.4000000000000004</v>
      </c>
      <c r="F16" s="2">
        <f t="shared" si="1"/>
        <v>55.850009722227696</v>
      </c>
      <c r="G16">
        <f t="shared" si="2"/>
        <v>0.46767075902745747</v>
      </c>
      <c r="H16">
        <v>1</v>
      </c>
      <c r="I16">
        <v>1</v>
      </c>
      <c r="J16">
        <f t="shared" si="3"/>
        <v>2.9979475798207167</v>
      </c>
      <c r="K16">
        <f t="shared" si="4"/>
        <v>1.4020524201792837</v>
      </c>
      <c r="L16">
        <f t="shared" si="5"/>
        <v>4.4000000000000004</v>
      </c>
      <c r="M16">
        <f t="shared" si="6"/>
        <v>1.4020524201792837</v>
      </c>
      <c r="N16">
        <f t="shared" si="7"/>
        <v>2.9979475798207167</v>
      </c>
      <c r="O16">
        <v>0.81349999999999945</v>
      </c>
      <c r="P16">
        <f t="shared" si="8"/>
        <v>3.6852459493801089</v>
      </c>
      <c r="Q16">
        <f>SUM($P$2:P16)</f>
        <v>1436.0087725495448</v>
      </c>
      <c r="R16">
        <f t="shared" si="9"/>
        <v>718.0043862747724</v>
      </c>
    </row>
    <row r="17" spans="1:18" x14ac:dyDescent="0.25">
      <c r="A17" t="s">
        <v>115</v>
      </c>
      <c r="B17" s="1">
        <v>43313.583333333336</v>
      </c>
      <c r="C17" s="1">
        <v>43315.933333796296</v>
      </c>
      <c r="D17" s="3">
        <v>10.37</v>
      </c>
      <c r="E17">
        <f t="shared" si="0"/>
        <v>2.6999999999999993</v>
      </c>
      <c r="F17" s="2">
        <f>(C17-B17)*24</f>
        <v>56.400011111050844</v>
      </c>
      <c r="G17">
        <f>1-EXP(-$S$3*F17)</f>
        <v>0.47096574546700576</v>
      </c>
      <c r="H17">
        <v>1</v>
      </c>
      <c r="I17">
        <v>1</v>
      </c>
      <c r="J17">
        <f>E17/((1+G17)*(H17/I17))</f>
        <v>1.8355288070578399</v>
      </c>
      <c r="K17">
        <f>N17*G17*H17</f>
        <v>0.86447119294215935</v>
      </c>
      <c r="L17">
        <f>M17+N17</f>
        <v>2.6999999999999993</v>
      </c>
      <c r="M17">
        <f>K17/H17</f>
        <v>0.86447119294215935</v>
      </c>
      <c r="N17">
        <f>J17/I17</f>
        <v>1.8355288070578399</v>
      </c>
      <c r="O17">
        <v>0.83100000000000041</v>
      </c>
      <c r="P17">
        <f t="shared" si="8"/>
        <v>2.2088192624041385</v>
      </c>
      <c r="Q17">
        <f>SUM($P$2:P17)</f>
        <v>1438.217591811949</v>
      </c>
      <c r="R17">
        <f t="shared" si="9"/>
        <v>719.10879590597449</v>
      </c>
    </row>
    <row r="18" spans="1:18" x14ac:dyDescent="0.25">
      <c r="A18" t="s">
        <v>116</v>
      </c>
      <c r="B18" s="1">
        <v>43313.583333333336</v>
      </c>
      <c r="C18" s="1">
        <v>43315.956250520831</v>
      </c>
      <c r="D18" s="3">
        <v>9.24</v>
      </c>
      <c r="E18">
        <f t="shared" si="0"/>
        <v>1.5700000000000003</v>
      </c>
      <c r="F18" s="2">
        <f t="shared" si="1"/>
        <v>56.950012499873992</v>
      </c>
      <c r="G18">
        <f t="shared" si="2"/>
        <v>0.47424033675483002</v>
      </c>
      <c r="H18">
        <v>1</v>
      </c>
      <c r="I18">
        <v>1</v>
      </c>
      <c r="J18">
        <f t="shared" si="3"/>
        <v>1.064955259232671</v>
      </c>
      <c r="K18">
        <f t="shared" si="4"/>
        <v>0.50504474076732919</v>
      </c>
      <c r="L18">
        <f t="shared" si="5"/>
        <v>1.5700000000000003</v>
      </c>
      <c r="M18">
        <f t="shared" si="6"/>
        <v>0.50504474076732919</v>
      </c>
      <c r="N18">
        <f t="shared" si="7"/>
        <v>1.064955259232671</v>
      </c>
      <c r="O18">
        <v>0.78350000000000009</v>
      </c>
      <c r="P18">
        <f t="shared" si="8"/>
        <v>1.3592281547321901</v>
      </c>
      <c r="Q18">
        <f>SUM($P$2:P18)</f>
        <v>1439.5768199666811</v>
      </c>
      <c r="R18">
        <f t="shared" si="9"/>
        <v>719.78840998334056</v>
      </c>
    </row>
    <row r="19" spans="1:18" x14ac:dyDescent="0.25">
      <c r="A19" t="s">
        <v>117</v>
      </c>
      <c r="B19" s="1">
        <v>43313.583333333336</v>
      </c>
      <c r="C19" s="1">
        <v>43315.979167245372</v>
      </c>
      <c r="D19" s="3">
        <v>10.4</v>
      </c>
      <c r="E19">
        <f t="shared" si="0"/>
        <v>2.7300000000000004</v>
      </c>
      <c r="F19" s="2">
        <f t="shared" si="1"/>
        <v>57.500013888871763</v>
      </c>
      <c r="G19">
        <f t="shared" si="2"/>
        <v>0.47749465913290878</v>
      </c>
      <c r="H19">
        <v>1</v>
      </c>
      <c r="I19">
        <v>1</v>
      </c>
      <c r="J19">
        <f t="shared" si="3"/>
        <v>1.8477224151877099</v>
      </c>
      <c r="K19">
        <f t="shared" si="4"/>
        <v>0.88227758481229046</v>
      </c>
      <c r="L19">
        <f t="shared" si="5"/>
        <v>2.7300000000000004</v>
      </c>
      <c r="M19">
        <f t="shared" si="6"/>
        <v>0.88227758481229046</v>
      </c>
      <c r="N19">
        <f t="shared" si="7"/>
        <v>1.8477224151877099</v>
      </c>
      <c r="O19">
        <v>0.77230000000000043</v>
      </c>
      <c r="P19">
        <f t="shared" si="8"/>
        <v>2.3924930923057217</v>
      </c>
      <c r="Q19">
        <f>SUM($P$2:P19)</f>
        <v>1441.9693130589869</v>
      </c>
      <c r="R19">
        <f t="shared" si="9"/>
        <v>720.98465652949346</v>
      </c>
    </row>
    <row r="20" spans="1:18" x14ac:dyDescent="0.25">
      <c r="A20" t="s">
        <v>118</v>
      </c>
      <c r="B20" s="1">
        <v>43313.583333333336</v>
      </c>
      <c r="C20" s="1">
        <v>43316.002083969906</v>
      </c>
      <c r="D20" s="3">
        <v>9.9600000000000009</v>
      </c>
      <c r="E20">
        <f t="shared" si="0"/>
        <v>2.2900000000000009</v>
      </c>
      <c r="F20" s="2">
        <f t="shared" si="1"/>
        <v>58.050015277694911</v>
      </c>
      <c r="G20">
        <f t="shared" si="2"/>
        <v>0.48072883805872413</v>
      </c>
      <c r="H20">
        <v>1</v>
      </c>
      <c r="I20">
        <v>1</v>
      </c>
      <c r="J20">
        <f t="shared" si="3"/>
        <v>1.5465356931943415</v>
      </c>
      <c r="K20">
        <f t="shared" si="4"/>
        <v>0.74346430680565923</v>
      </c>
      <c r="L20">
        <f t="shared" si="5"/>
        <v>2.2900000000000009</v>
      </c>
      <c r="M20">
        <f t="shared" si="6"/>
        <v>0.74346430680565923</v>
      </c>
      <c r="N20">
        <f t="shared" si="7"/>
        <v>1.5465356931943415</v>
      </c>
      <c r="O20">
        <v>0.75990000000000002</v>
      </c>
      <c r="P20">
        <f t="shared" si="8"/>
        <v>2.0351831730416388</v>
      </c>
      <c r="Q20">
        <f>SUM($P$2:P20)</f>
        <v>1444.0044962320285</v>
      </c>
      <c r="R20">
        <f t="shared" si="9"/>
        <v>722.00224811601424</v>
      </c>
    </row>
    <row r="21" spans="1:18" x14ac:dyDescent="0.25">
      <c r="A21" t="s">
        <v>119</v>
      </c>
      <c r="B21" s="1">
        <v>43313.583333333336</v>
      </c>
      <c r="C21" s="1">
        <v>43316.025000694448</v>
      </c>
      <c r="D21" s="3">
        <v>9.48</v>
      </c>
      <c r="E21">
        <f t="shared" si="0"/>
        <v>1.8100000000000005</v>
      </c>
      <c r="F21" s="2">
        <f t="shared" si="1"/>
        <v>58.600016666692682</v>
      </c>
      <c r="G21">
        <f t="shared" si="2"/>
        <v>0.48394299821731435</v>
      </c>
      <c r="H21">
        <v>1</v>
      </c>
      <c r="I21">
        <v>1</v>
      </c>
      <c r="J21">
        <f t="shared" si="3"/>
        <v>1.2197234005446191</v>
      </c>
      <c r="K21">
        <f t="shared" si="4"/>
        <v>0.59027659945538125</v>
      </c>
      <c r="L21">
        <f t="shared" si="5"/>
        <v>1.8100000000000005</v>
      </c>
      <c r="M21">
        <f t="shared" si="6"/>
        <v>0.59027659945538125</v>
      </c>
      <c r="N21">
        <f t="shared" si="7"/>
        <v>1.2197234005446191</v>
      </c>
      <c r="O21">
        <v>0.90230000000000032</v>
      </c>
      <c r="P21">
        <f t="shared" si="8"/>
        <v>1.3517936390830307</v>
      </c>
      <c r="Q21">
        <f>SUM($P$2:P21)</f>
        <v>1445.3562898711116</v>
      </c>
      <c r="R21">
        <f t="shared" si="9"/>
        <v>722.67814493555579</v>
      </c>
    </row>
    <row r="22" spans="1:18" x14ac:dyDescent="0.25">
      <c r="A22" t="s">
        <v>15</v>
      </c>
      <c r="B22" s="1">
        <v>43313.583333333336</v>
      </c>
      <c r="C22" s="1">
        <v>43316.047917418982</v>
      </c>
      <c r="D22" s="3">
        <v>7.67</v>
      </c>
      <c r="E22">
        <f t="shared" si="0"/>
        <v>0</v>
      </c>
      <c r="F22" s="2">
        <f>(C22-B22)*24</f>
        <v>59.150018055515829</v>
      </c>
      <c r="G22">
        <f>1-EXP(-$S$3*F22)</f>
        <v>0.48713726351786657</v>
      </c>
      <c r="H22">
        <v>1</v>
      </c>
      <c r="I22">
        <v>1</v>
      </c>
      <c r="J22">
        <f>E22/((1+G22)*(H22/I22))</f>
        <v>0</v>
      </c>
      <c r="K22">
        <f>N22*G22*H22</f>
        <v>0</v>
      </c>
      <c r="L22">
        <f>M22+N22</f>
        <v>0</v>
      </c>
      <c r="M22">
        <f>K22/H22</f>
        <v>0</v>
      </c>
      <c r="N22">
        <f>J22/I22</f>
        <v>0</v>
      </c>
    </row>
    <row r="27" spans="1:18" x14ac:dyDescent="0.25">
      <c r="E27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C1" zoomScale="90" zoomScaleNormal="90" workbookViewId="0">
      <selection activeCell="K33" sqref="K3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4.85546875" bestFit="1" customWidth="1"/>
    <col min="17" max="17" width="24.7109375" bestFit="1" customWidth="1"/>
    <col min="18" max="18" width="24.7109375" customWidth="1"/>
    <col min="19" max="19" width="22.140625" bestFit="1" customWidth="1"/>
  </cols>
  <sheetData>
    <row r="1" spans="1:1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142</v>
      </c>
      <c r="P1" t="s">
        <v>147</v>
      </c>
      <c r="Q1" t="s">
        <v>145</v>
      </c>
      <c r="R1" t="s">
        <v>146</v>
      </c>
    </row>
    <row r="2" spans="1:19" x14ac:dyDescent="0.25">
      <c r="A2" t="s">
        <v>79</v>
      </c>
      <c r="B2" s="1">
        <v>43315.625</v>
      </c>
      <c r="C2" s="1">
        <v>43316.677083333336</v>
      </c>
      <c r="D2" s="3">
        <v>12.41</v>
      </c>
      <c r="E2">
        <f t="shared" ref="E2:E22" si="0">D2-$D$22</f>
        <v>4.4000000000000004</v>
      </c>
      <c r="F2" s="2">
        <f>(C2-B2)*24</f>
        <v>25.250000000058208</v>
      </c>
      <c r="G2">
        <f>1-EXP(-$S$3*F2)</f>
        <v>0.24802207553244271</v>
      </c>
      <c r="H2">
        <v>1</v>
      </c>
      <c r="I2">
        <v>1</v>
      </c>
      <c r="J2">
        <f>E2/((1+G2)*(H2/I2))</f>
        <v>3.525578662639306</v>
      </c>
      <c r="K2">
        <f>N2*G2*H2</f>
        <v>0.87442133736069427</v>
      </c>
      <c r="L2">
        <f>M2+N2</f>
        <v>4.4000000000000004</v>
      </c>
      <c r="M2">
        <f>K2/H2</f>
        <v>0.87442133736069427</v>
      </c>
      <c r="N2">
        <f>J2/I2</f>
        <v>3.525578662639306</v>
      </c>
      <c r="O2">
        <v>0.84330000000000016</v>
      </c>
      <c r="P2">
        <f>N2/O2</f>
        <v>4.180693303260175</v>
      </c>
      <c r="Q2">
        <f>SUM($P$2:P2)</f>
        <v>4.180693303260175</v>
      </c>
      <c r="R2">
        <f>Q2/2</f>
        <v>2.0903466516300875</v>
      </c>
      <c r="S2" t="s">
        <v>2</v>
      </c>
    </row>
    <row r="3" spans="1:19" x14ac:dyDescent="0.25">
      <c r="A3" t="s">
        <v>80</v>
      </c>
      <c r="B3" s="1">
        <v>43315.625</v>
      </c>
      <c r="C3" s="1">
        <v>43316.7</v>
      </c>
      <c r="D3" s="3">
        <v>20.54</v>
      </c>
      <c r="E3">
        <f t="shared" si="0"/>
        <v>12.53</v>
      </c>
      <c r="F3" s="2">
        <f t="shared" ref="F3:F21" si="1">(C3-B3)*24</f>
        <v>25.799999999930151</v>
      </c>
      <c r="G3">
        <f t="shared" ref="G3:G21" si="2">1-EXP(-$S$3*F3)</f>
        <v>0.25267662131995516</v>
      </c>
      <c r="H3">
        <v>1</v>
      </c>
      <c r="I3">
        <v>1</v>
      </c>
      <c r="J3">
        <f t="shared" ref="J3:J21" si="3">E3/((1+G3)*(H3/I3))</f>
        <v>10.002581501678414</v>
      </c>
      <c r="K3">
        <f t="shared" ref="K3:K21" si="4">N3*G3*H3</f>
        <v>2.5274184983215848</v>
      </c>
      <c r="L3">
        <f t="shared" ref="L3:L21" si="5">M3+N3</f>
        <v>12.529999999999998</v>
      </c>
      <c r="M3">
        <f t="shared" ref="M3:M21" si="6">K3/H3</f>
        <v>2.5274184983215848</v>
      </c>
      <c r="N3">
        <f t="shared" ref="N3:N21" si="7">J3/I3</f>
        <v>10.002581501678414</v>
      </c>
      <c r="O3">
        <v>0.94359999999999999</v>
      </c>
      <c r="P3">
        <f t="shared" ref="P3:P21" si="8">N3/O3</f>
        <v>10.600446695292936</v>
      </c>
      <c r="Q3">
        <f>SUM($P$2:P3)</f>
        <v>14.781139998553112</v>
      </c>
      <c r="R3">
        <f t="shared" ref="R3:R21" si="9">Q3/2</f>
        <v>7.3905699992765559</v>
      </c>
      <c r="S3">
        <f>LN(2)/61.4</f>
        <v>1.1289042028663604E-2</v>
      </c>
    </row>
    <row r="4" spans="1:19" x14ac:dyDescent="0.25">
      <c r="A4" t="s">
        <v>81</v>
      </c>
      <c r="B4" s="1">
        <v>43315.625</v>
      </c>
      <c r="C4" s="1">
        <v>43316.722916550927</v>
      </c>
      <c r="D4" s="3">
        <v>16.82</v>
      </c>
      <c r="E4">
        <f t="shared" si="0"/>
        <v>8.81</v>
      </c>
      <c r="F4" s="2">
        <f t="shared" si="1"/>
        <v>26.34999722224893</v>
      </c>
      <c r="G4">
        <f t="shared" si="2"/>
        <v>0.25730233340395392</v>
      </c>
      <c r="H4">
        <v>1</v>
      </c>
      <c r="I4">
        <v>1</v>
      </c>
      <c r="J4">
        <f t="shared" si="3"/>
        <v>7.0070656563153522</v>
      </c>
      <c r="K4">
        <f t="shared" si="4"/>
        <v>1.8029343436846479</v>
      </c>
      <c r="L4">
        <f t="shared" si="5"/>
        <v>8.81</v>
      </c>
      <c r="M4">
        <f t="shared" si="6"/>
        <v>1.8029343436846479</v>
      </c>
      <c r="N4">
        <f t="shared" si="7"/>
        <v>7.0070656563153522</v>
      </c>
      <c r="O4">
        <v>1.0972000000000008</v>
      </c>
      <c r="P4">
        <f t="shared" si="8"/>
        <v>6.3863157640497148</v>
      </c>
      <c r="Q4">
        <f>SUM($P$2:P4)</f>
        <v>21.167455762602827</v>
      </c>
      <c r="R4">
        <f t="shared" si="9"/>
        <v>10.583727881301414</v>
      </c>
    </row>
    <row r="5" spans="1:19" x14ac:dyDescent="0.25">
      <c r="A5" t="s">
        <v>82</v>
      </c>
      <c r="B5" s="1">
        <v>43315.625</v>
      </c>
      <c r="C5" s="1">
        <v>43316.745833159723</v>
      </c>
      <c r="D5" s="3">
        <v>24.39</v>
      </c>
      <c r="E5">
        <f t="shared" si="0"/>
        <v>16.380000000000003</v>
      </c>
      <c r="F5" s="2">
        <f t="shared" si="1"/>
        <v>26.899995833344292</v>
      </c>
      <c r="G5">
        <f t="shared" si="2"/>
        <v>0.26189942526150745</v>
      </c>
      <c r="H5">
        <v>1</v>
      </c>
      <c r="I5">
        <v>1</v>
      </c>
      <c r="J5">
        <f t="shared" si="3"/>
        <v>12.980432253232481</v>
      </c>
      <c r="K5">
        <f t="shared" si="4"/>
        <v>3.3995677467675209</v>
      </c>
      <c r="L5">
        <f t="shared" si="5"/>
        <v>16.380000000000003</v>
      </c>
      <c r="M5">
        <f t="shared" si="6"/>
        <v>3.3995677467675209</v>
      </c>
      <c r="N5">
        <f t="shared" si="7"/>
        <v>12.980432253232481</v>
      </c>
      <c r="O5">
        <v>0.92929999999999957</v>
      </c>
      <c r="P5">
        <f t="shared" si="8"/>
        <v>13.967967559703526</v>
      </c>
      <c r="Q5">
        <f>SUM($P$2:P5)</f>
        <v>35.135423322306352</v>
      </c>
      <c r="R5">
        <f t="shared" si="9"/>
        <v>17.567711661153176</v>
      </c>
    </row>
    <row r="6" spans="1:19" x14ac:dyDescent="0.25">
      <c r="A6" t="s">
        <v>83</v>
      </c>
      <c r="B6" s="1">
        <v>43315.625</v>
      </c>
      <c r="C6" s="1">
        <v>43316.768749768518</v>
      </c>
      <c r="D6" s="3">
        <v>126.38</v>
      </c>
      <c r="E6">
        <f t="shared" si="0"/>
        <v>118.36999999999999</v>
      </c>
      <c r="F6" s="2">
        <f t="shared" si="1"/>
        <v>27.449994444439653</v>
      </c>
      <c r="G6">
        <f t="shared" si="2"/>
        <v>0.26646806239986986</v>
      </c>
      <c r="H6">
        <v>1</v>
      </c>
      <c r="I6">
        <v>1</v>
      </c>
      <c r="J6">
        <f t="shared" si="3"/>
        <v>93.464654588838968</v>
      </c>
      <c r="K6">
        <f t="shared" si="4"/>
        <v>24.905345411161026</v>
      </c>
      <c r="L6">
        <f t="shared" si="5"/>
        <v>118.36999999999999</v>
      </c>
      <c r="M6">
        <f t="shared" si="6"/>
        <v>24.905345411161026</v>
      </c>
      <c r="N6">
        <f t="shared" si="7"/>
        <v>93.464654588838968</v>
      </c>
      <c r="O6">
        <v>0.8006000000000002</v>
      </c>
      <c r="P6">
        <f t="shared" si="8"/>
        <v>116.74326079045584</v>
      </c>
      <c r="Q6">
        <f>SUM($P$2:P6)</f>
        <v>151.87868411276219</v>
      </c>
      <c r="R6">
        <f t="shared" si="9"/>
        <v>75.939342056381093</v>
      </c>
    </row>
    <row r="7" spans="1:19" x14ac:dyDescent="0.25">
      <c r="A7" t="s">
        <v>84</v>
      </c>
      <c r="B7" s="1">
        <v>43315.625</v>
      </c>
      <c r="C7" s="1">
        <v>43316.791666377314</v>
      </c>
      <c r="D7" s="3">
        <v>297.47000000000003</v>
      </c>
      <c r="E7">
        <f t="shared" si="0"/>
        <v>289.46000000000004</v>
      </c>
      <c r="F7" s="2">
        <f t="shared" si="1"/>
        <v>27.999993055535015</v>
      </c>
      <c r="G7">
        <f t="shared" si="2"/>
        <v>0.27100842094583388</v>
      </c>
      <c r="H7">
        <v>1</v>
      </c>
      <c r="I7">
        <v>1</v>
      </c>
      <c r="J7">
        <f t="shared" si="3"/>
        <v>227.74042660126156</v>
      </c>
      <c r="K7">
        <f t="shared" si="4"/>
        <v>61.719573398738476</v>
      </c>
      <c r="L7">
        <f t="shared" si="5"/>
        <v>289.46000000000004</v>
      </c>
      <c r="M7">
        <f t="shared" si="6"/>
        <v>61.719573398738476</v>
      </c>
      <c r="N7">
        <f t="shared" si="7"/>
        <v>227.74042660126156</v>
      </c>
      <c r="O7">
        <v>0.84499999999999975</v>
      </c>
      <c r="P7">
        <f t="shared" si="8"/>
        <v>269.51529775297234</v>
      </c>
      <c r="Q7">
        <f>SUM($P$2:P7)</f>
        <v>421.39398186573453</v>
      </c>
      <c r="R7">
        <f t="shared" si="9"/>
        <v>210.69699093286727</v>
      </c>
    </row>
    <row r="8" spans="1:19" x14ac:dyDescent="0.25">
      <c r="A8" t="s">
        <v>85</v>
      </c>
      <c r="B8" s="1">
        <v>43315.625</v>
      </c>
      <c r="C8" s="1">
        <v>43316.813194444447</v>
      </c>
      <c r="D8" s="3">
        <v>296.62</v>
      </c>
      <c r="E8">
        <f t="shared" si="0"/>
        <v>288.61</v>
      </c>
      <c r="F8" s="2">
        <f t="shared" si="1"/>
        <v>28.516666666720994</v>
      </c>
      <c r="G8">
        <f t="shared" si="2"/>
        <v>0.27524807023287934</v>
      </c>
      <c r="H8">
        <v>1</v>
      </c>
      <c r="I8">
        <v>1</v>
      </c>
      <c r="J8">
        <f t="shared" si="3"/>
        <v>226.3167510202901</v>
      </c>
      <c r="K8">
        <f t="shared" si="4"/>
        <v>62.293248979709873</v>
      </c>
      <c r="L8">
        <f t="shared" si="5"/>
        <v>288.60999999999996</v>
      </c>
      <c r="M8">
        <f t="shared" si="6"/>
        <v>62.293248979709873</v>
      </c>
      <c r="N8">
        <f t="shared" si="7"/>
        <v>226.3167510202901</v>
      </c>
      <c r="O8">
        <v>0.80310000000000059</v>
      </c>
      <c r="P8">
        <f t="shared" si="8"/>
        <v>281.80394847502168</v>
      </c>
      <c r="Q8">
        <f>SUM($P$2:P8)</f>
        <v>703.19793034075622</v>
      </c>
      <c r="R8">
        <f t="shared" si="9"/>
        <v>351.59896517037811</v>
      </c>
    </row>
    <row r="9" spans="1:19" x14ac:dyDescent="0.25">
      <c r="A9" t="s">
        <v>86</v>
      </c>
      <c r="B9" s="1">
        <v>43315.625</v>
      </c>
      <c r="C9" s="1">
        <v>43316.836111111108</v>
      </c>
      <c r="D9" s="3">
        <v>213.56</v>
      </c>
      <c r="E9">
        <f t="shared" si="0"/>
        <v>205.55</v>
      </c>
      <c r="F9" s="2">
        <f t="shared" si="1"/>
        <v>29.066666666592937</v>
      </c>
      <c r="G9">
        <f t="shared" si="2"/>
        <v>0.27973409426620133</v>
      </c>
      <c r="H9">
        <v>1</v>
      </c>
      <c r="I9">
        <v>1</v>
      </c>
      <c r="J9">
        <f t="shared" si="3"/>
        <v>160.61930437030531</v>
      </c>
      <c r="K9">
        <f t="shared" si="4"/>
        <v>44.930695629694668</v>
      </c>
      <c r="L9">
        <f t="shared" si="5"/>
        <v>205.54999999999998</v>
      </c>
      <c r="M9">
        <f t="shared" si="6"/>
        <v>44.930695629694668</v>
      </c>
      <c r="N9">
        <f t="shared" si="7"/>
        <v>160.61930437030531</v>
      </c>
      <c r="O9">
        <v>0.77700000000000014</v>
      </c>
      <c r="P9">
        <f t="shared" si="8"/>
        <v>206.71725144183435</v>
      </c>
      <c r="Q9">
        <f>SUM($P$2:P9)</f>
        <v>909.91518178259059</v>
      </c>
      <c r="R9">
        <f t="shared" si="9"/>
        <v>454.9575908912953</v>
      </c>
    </row>
    <row r="10" spans="1:19" x14ac:dyDescent="0.25">
      <c r="A10" t="s">
        <v>87</v>
      </c>
      <c r="B10" s="1">
        <v>43315.625</v>
      </c>
      <c r="C10" s="1">
        <v>43316.859027777777</v>
      </c>
      <c r="D10" s="3">
        <v>149.44</v>
      </c>
      <c r="E10">
        <f t="shared" si="0"/>
        <v>141.43</v>
      </c>
      <c r="F10" s="2">
        <f t="shared" si="1"/>
        <v>29.616666666639503</v>
      </c>
      <c r="G10">
        <f t="shared" si="2"/>
        <v>0.28419235099076801</v>
      </c>
      <c r="H10">
        <v>1</v>
      </c>
      <c r="I10">
        <v>1</v>
      </c>
      <c r="J10">
        <f t="shared" si="3"/>
        <v>110.13147671443866</v>
      </c>
      <c r="K10">
        <f t="shared" si="4"/>
        <v>31.298523285561345</v>
      </c>
      <c r="L10">
        <f t="shared" si="5"/>
        <v>141.43</v>
      </c>
      <c r="M10">
        <f t="shared" si="6"/>
        <v>31.298523285561345</v>
      </c>
      <c r="N10">
        <f t="shared" si="7"/>
        <v>110.13147671443866</v>
      </c>
      <c r="O10">
        <v>0.78110000000000035</v>
      </c>
      <c r="P10">
        <f t="shared" si="8"/>
        <v>140.99536130385175</v>
      </c>
      <c r="Q10">
        <f>SUM($P$2:P10)</f>
        <v>1050.9105430864424</v>
      </c>
      <c r="R10">
        <f t="shared" si="9"/>
        <v>525.45527154322122</v>
      </c>
    </row>
    <row r="11" spans="1:19" x14ac:dyDescent="0.25">
      <c r="A11" t="s">
        <v>88</v>
      </c>
      <c r="B11" s="1">
        <v>43315.625</v>
      </c>
      <c r="C11" s="1">
        <v>43316.881944386572</v>
      </c>
      <c r="D11" s="3">
        <v>105.46</v>
      </c>
      <c r="E11">
        <f t="shared" si="0"/>
        <v>97.449999999999989</v>
      </c>
      <c r="F11" s="2">
        <f t="shared" si="1"/>
        <v>30.166665277734865</v>
      </c>
      <c r="G11">
        <f t="shared" si="2"/>
        <v>0.28862300112316519</v>
      </c>
      <c r="H11">
        <v>1</v>
      </c>
      <c r="I11">
        <v>1</v>
      </c>
      <c r="J11">
        <f t="shared" si="3"/>
        <v>75.62335913223842</v>
      </c>
      <c r="K11">
        <f t="shared" si="4"/>
        <v>21.826640867761576</v>
      </c>
      <c r="L11">
        <f t="shared" si="5"/>
        <v>97.449999999999989</v>
      </c>
      <c r="M11">
        <f t="shared" si="6"/>
        <v>21.826640867761576</v>
      </c>
      <c r="N11">
        <f t="shared" si="7"/>
        <v>75.62335913223842</v>
      </c>
      <c r="O11">
        <v>0.79209999999999958</v>
      </c>
      <c r="P11">
        <f t="shared" si="8"/>
        <v>95.471984764850973</v>
      </c>
      <c r="Q11">
        <f>SUM($P$2:P11)</f>
        <v>1146.3825278512934</v>
      </c>
      <c r="R11">
        <f t="shared" si="9"/>
        <v>573.19126392564669</v>
      </c>
    </row>
    <row r="12" spans="1:19" x14ac:dyDescent="0.25">
      <c r="A12" t="s">
        <v>89</v>
      </c>
      <c r="B12" s="1">
        <v>43315.625</v>
      </c>
      <c r="C12" s="1">
        <v>43316.904861053241</v>
      </c>
      <c r="D12" s="3">
        <v>79.39</v>
      </c>
      <c r="E12">
        <f t="shared" si="0"/>
        <v>71.38</v>
      </c>
      <c r="F12" s="2">
        <f t="shared" si="1"/>
        <v>30.716665277781431</v>
      </c>
      <c r="G12">
        <f t="shared" si="2"/>
        <v>0.29302623784962611</v>
      </c>
      <c r="H12">
        <v>1</v>
      </c>
      <c r="I12">
        <v>1</v>
      </c>
      <c r="J12">
        <f t="shared" si="3"/>
        <v>55.203829520666865</v>
      </c>
      <c r="K12">
        <f t="shared" si="4"/>
        <v>16.176170479333141</v>
      </c>
      <c r="L12">
        <f t="shared" si="5"/>
        <v>71.38000000000001</v>
      </c>
      <c r="M12">
        <f t="shared" si="6"/>
        <v>16.176170479333141</v>
      </c>
      <c r="N12">
        <f t="shared" si="7"/>
        <v>55.203829520666865</v>
      </c>
      <c r="O12">
        <v>0.81400000000000006</v>
      </c>
      <c r="P12">
        <f t="shared" si="8"/>
        <v>67.817972384111627</v>
      </c>
      <c r="Q12">
        <f>SUM($P$2:P12)</f>
        <v>1214.2005002354051</v>
      </c>
      <c r="R12">
        <f t="shared" si="9"/>
        <v>607.10025011770256</v>
      </c>
    </row>
    <row r="13" spans="1:19" x14ac:dyDescent="0.25">
      <c r="A13" t="s">
        <v>90</v>
      </c>
      <c r="B13" s="1">
        <v>43315.625</v>
      </c>
      <c r="C13" s="1">
        <v>43316.927777719909</v>
      </c>
      <c r="D13" s="3">
        <v>49.33</v>
      </c>
      <c r="E13">
        <f t="shared" si="0"/>
        <v>41.32</v>
      </c>
      <c r="F13" s="2">
        <f t="shared" si="1"/>
        <v>31.266665277827997</v>
      </c>
      <c r="G13">
        <f t="shared" si="2"/>
        <v>0.29740221969759106</v>
      </c>
      <c r="H13">
        <v>1</v>
      </c>
      <c r="I13">
        <v>1</v>
      </c>
      <c r="J13">
        <f t="shared" si="3"/>
        <v>31.848257520039695</v>
      </c>
      <c r="K13">
        <f t="shared" si="4"/>
        <v>9.4717424799603016</v>
      </c>
      <c r="L13">
        <f t="shared" si="5"/>
        <v>41.319999999999993</v>
      </c>
      <c r="M13">
        <f t="shared" si="6"/>
        <v>9.4717424799603016</v>
      </c>
      <c r="N13">
        <f t="shared" si="7"/>
        <v>31.848257520039695</v>
      </c>
      <c r="O13">
        <v>0.82099999999999973</v>
      </c>
      <c r="P13">
        <f t="shared" si="8"/>
        <v>38.792031084092208</v>
      </c>
      <c r="Q13">
        <f>SUM($P$2:P13)</f>
        <v>1252.9925313194974</v>
      </c>
      <c r="R13">
        <f t="shared" si="9"/>
        <v>626.4962656597487</v>
      </c>
    </row>
    <row r="14" spans="1:19" x14ac:dyDescent="0.25">
      <c r="A14" t="s">
        <v>91</v>
      </c>
      <c r="B14" s="1">
        <v>43315.625</v>
      </c>
      <c r="C14" s="1">
        <v>43316.950694386571</v>
      </c>
      <c r="D14" s="3">
        <v>39.369999999999997</v>
      </c>
      <c r="E14">
        <f t="shared" si="0"/>
        <v>31.36</v>
      </c>
      <c r="F14" s="2">
        <f t="shared" si="1"/>
        <v>31.81666527769994</v>
      </c>
      <c r="G14">
        <f t="shared" si="2"/>
        <v>0.30175111536622079</v>
      </c>
      <c r="H14">
        <v>1</v>
      </c>
      <c r="I14">
        <v>1</v>
      </c>
      <c r="J14">
        <f t="shared" si="3"/>
        <v>24.090626564339459</v>
      </c>
      <c r="K14">
        <f t="shared" si="4"/>
        <v>7.2693734356605395</v>
      </c>
      <c r="L14">
        <f t="shared" si="5"/>
        <v>31.36</v>
      </c>
      <c r="M14">
        <f t="shared" si="6"/>
        <v>7.2693734356605395</v>
      </c>
      <c r="N14">
        <f t="shared" si="7"/>
        <v>24.090626564339459</v>
      </c>
      <c r="O14">
        <v>0.88009999999999966</v>
      </c>
      <c r="P14">
        <f t="shared" si="8"/>
        <v>27.372601482035527</v>
      </c>
      <c r="Q14">
        <f>SUM($P$2:P14)</f>
        <v>1280.365132801533</v>
      </c>
      <c r="R14">
        <f t="shared" si="9"/>
        <v>640.18256640076652</v>
      </c>
    </row>
    <row r="15" spans="1:19" x14ac:dyDescent="0.25">
      <c r="A15" t="s">
        <v>92</v>
      </c>
      <c r="B15" s="1">
        <v>43315.625</v>
      </c>
      <c r="C15" s="1">
        <v>43316.973611053239</v>
      </c>
      <c r="D15" s="3">
        <v>22.45</v>
      </c>
      <c r="E15">
        <f t="shared" si="0"/>
        <v>14.44</v>
      </c>
      <c r="F15" s="2">
        <f t="shared" si="1"/>
        <v>32.366665277746506</v>
      </c>
      <c r="G15">
        <f t="shared" si="2"/>
        <v>0.30607309251460224</v>
      </c>
      <c r="H15">
        <v>1</v>
      </c>
      <c r="I15">
        <v>1</v>
      </c>
      <c r="J15">
        <f t="shared" si="3"/>
        <v>11.056042791754058</v>
      </c>
      <c r="K15">
        <f t="shared" si="4"/>
        <v>3.383957208245941</v>
      </c>
      <c r="L15">
        <f t="shared" si="5"/>
        <v>14.439999999999998</v>
      </c>
      <c r="M15">
        <f t="shared" si="6"/>
        <v>3.383957208245941</v>
      </c>
      <c r="N15">
        <f t="shared" si="7"/>
        <v>11.056042791754058</v>
      </c>
      <c r="O15">
        <v>0.68490000000000073</v>
      </c>
      <c r="P15">
        <f t="shared" si="8"/>
        <v>16.142565033952469</v>
      </c>
      <c r="Q15">
        <f>SUM($P$2:P15)</f>
        <v>1296.5076978354855</v>
      </c>
      <c r="R15">
        <f t="shared" si="9"/>
        <v>648.25384891774274</v>
      </c>
    </row>
    <row r="16" spans="1:19" x14ac:dyDescent="0.25">
      <c r="A16" t="s">
        <v>93</v>
      </c>
      <c r="B16" s="1">
        <v>43315.625</v>
      </c>
      <c r="C16" s="1">
        <v>43316.996527719908</v>
      </c>
      <c r="D16" s="3">
        <v>18.559999999999999</v>
      </c>
      <c r="E16">
        <f t="shared" si="0"/>
        <v>10.549999999999999</v>
      </c>
      <c r="F16" s="2">
        <f t="shared" si="1"/>
        <v>32.916665277793072</v>
      </c>
      <c r="G16">
        <f t="shared" si="2"/>
        <v>0.31036831775992713</v>
      </c>
      <c r="H16">
        <v>1</v>
      </c>
      <c r="I16">
        <v>1</v>
      </c>
      <c r="J16">
        <f t="shared" si="3"/>
        <v>8.0511714584455216</v>
      </c>
      <c r="K16">
        <f t="shared" si="4"/>
        <v>2.4988285415544755</v>
      </c>
      <c r="L16">
        <f t="shared" si="5"/>
        <v>10.549999999999997</v>
      </c>
      <c r="M16">
        <f t="shared" si="6"/>
        <v>2.4988285415544755</v>
      </c>
      <c r="N16">
        <f t="shared" si="7"/>
        <v>8.0511714584455216</v>
      </c>
      <c r="O16">
        <v>0.75480000000000036</v>
      </c>
      <c r="P16">
        <f t="shared" si="8"/>
        <v>10.666628853266452</v>
      </c>
      <c r="Q16">
        <f>SUM($P$2:P16)</f>
        <v>1307.174326688752</v>
      </c>
      <c r="R16">
        <f t="shared" si="9"/>
        <v>653.58716334437599</v>
      </c>
    </row>
    <row r="17" spans="1:18" x14ac:dyDescent="0.25">
      <c r="A17" t="s">
        <v>94</v>
      </c>
      <c r="B17" s="1">
        <v>43315.625</v>
      </c>
      <c r="C17" s="1">
        <v>43317.019444386577</v>
      </c>
      <c r="D17" s="3">
        <v>17.399999999999999</v>
      </c>
      <c r="E17">
        <f t="shared" si="0"/>
        <v>9.3899999999999988</v>
      </c>
      <c r="F17" s="2">
        <f>(C17-B17)*24</f>
        <v>33.466665277839638</v>
      </c>
      <c r="G17">
        <f>1-EXP(-$S$3*F17)</f>
        <v>0.3146369566894468</v>
      </c>
      <c r="H17">
        <v>1</v>
      </c>
      <c r="I17">
        <v>1</v>
      </c>
      <c r="J17">
        <f>E17/((1+G17)*(H17/I17))</f>
        <v>7.1426563449472331</v>
      </c>
      <c r="K17">
        <f>N17*G17*H17</f>
        <v>2.2473436550527648</v>
      </c>
      <c r="L17">
        <f>M17+N17</f>
        <v>9.389999999999997</v>
      </c>
      <c r="M17">
        <f>K17/H17</f>
        <v>2.2473436550527648</v>
      </c>
      <c r="N17">
        <f>J17/I17</f>
        <v>7.1426563449472331</v>
      </c>
      <c r="O17">
        <v>0.77899999999999991</v>
      </c>
      <c r="P17">
        <f t="shared" si="8"/>
        <v>9.1690068612929831</v>
      </c>
      <c r="Q17">
        <f>SUM($P$2:P17)</f>
        <v>1316.3433335500449</v>
      </c>
      <c r="R17">
        <f t="shared" si="9"/>
        <v>658.17166677502246</v>
      </c>
    </row>
    <row r="18" spans="1:18" x14ac:dyDescent="0.25">
      <c r="A18" t="s">
        <v>95</v>
      </c>
      <c r="B18" s="1">
        <v>43315.625</v>
      </c>
      <c r="C18" s="1">
        <v>43317.042361053238</v>
      </c>
      <c r="D18" s="3">
        <v>12.65</v>
      </c>
      <c r="E18">
        <f t="shared" si="0"/>
        <v>4.6400000000000006</v>
      </c>
      <c r="F18" s="2">
        <f t="shared" si="1"/>
        <v>34.016665277711581</v>
      </c>
      <c r="G18">
        <f t="shared" si="2"/>
        <v>0.31887917386412856</v>
      </c>
      <c r="H18">
        <v>1</v>
      </c>
      <c r="I18">
        <v>1</v>
      </c>
      <c r="J18">
        <f t="shared" si="3"/>
        <v>3.5181388044861306</v>
      </c>
      <c r="K18">
        <f t="shared" si="4"/>
        <v>1.1218611955138702</v>
      </c>
      <c r="L18">
        <f t="shared" si="5"/>
        <v>4.6400000000000006</v>
      </c>
      <c r="M18">
        <f t="shared" si="6"/>
        <v>1.1218611955138702</v>
      </c>
      <c r="N18">
        <f t="shared" si="7"/>
        <v>3.5181388044861306</v>
      </c>
      <c r="O18">
        <v>0.71520000000000028</v>
      </c>
      <c r="P18">
        <f t="shared" si="8"/>
        <v>4.9190978809929096</v>
      </c>
      <c r="Q18">
        <f>SUM($P$2:P18)</f>
        <v>1321.2624314310378</v>
      </c>
      <c r="R18">
        <f t="shared" si="9"/>
        <v>660.63121571551892</v>
      </c>
    </row>
    <row r="19" spans="1:18" x14ac:dyDescent="0.25">
      <c r="A19" t="s">
        <v>96</v>
      </c>
      <c r="B19" s="1">
        <v>43315.625</v>
      </c>
      <c r="C19" s="1">
        <v>43317.065277719907</v>
      </c>
      <c r="D19" s="3">
        <v>12.48</v>
      </c>
      <c r="E19">
        <f t="shared" si="0"/>
        <v>4.4700000000000006</v>
      </c>
      <c r="F19" s="2">
        <f t="shared" si="1"/>
        <v>34.566665277758148</v>
      </c>
      <c r="G19">
        <f t="shared" si="2"/>
        <v>0.32309513283037872</v>
      </c>
      <c r="H19">
        <v>1</v>
      </c>
      <c r="I19">
        <v>1</v>
      </c>
      <c r="J19">
        <f t="shared" si="3"/>
        <v>3.3784418739699622</v>
      </c>
      <c r="K19">
        <f t="shared" si="4"/>
        <v>1.0915581260300384</v>
      </c>
      <c r="L19">
        <f t="shared" si="5"/>
        <v>4.4700000000000006</v>
      </c>
      <c r="M19">
        <f t="shared" si="6"/>
        <v>1.0915581260300384</v>
      </c>
      <c r="N19">
        <f t="shared" si="7"/>
        <v>3.3784418739699622</v>
      </c>
      <c r="O19">
        <v>0.79579999999999984</v>
      </c>
      <c r="P19">
        <f t="shared" si="8"/>
        <v>4.2453403794545901</v>
      </c>
      <c r="Q19">
        <f>SUM($P$2:P19)</f>
        <v>1325.5077718104924</v>
      </c>
      <c r="R19">
        <f t="shared" si="9"/>
        <v>662.75388590524619</v>
      </c>
    </row>
    <row r="20" spans="1:18" x14ac:dyDescent="0.25">
      <c r="A20" t="s">
        <v>97</v>
      </c>
      <c r="B20" s="1">
        <v>43315.625</v>
      </c>
      <c r="C20" s="1">
        <v>43317.088194386575</v>
      </c>
      <c r="D20" s="3">
        <v>11.39</v>
      </c>
      <c r="E20">
        <f t="shared" si="0"/>
        <v>3.3800000000000008</v>
      </c>
      <c r="F20" s="2">
        <f t="shared" si="1"/>
        <v>35.116665277804714</v>
      </c>
      <c r="G20">
        <f t="shared" si="2"/>
        <v>0.327284996118266</v>
      </c>
      <c r="H20">
        <v>1</v>
      </c>
      <c r="I20">
        <v>1</v>
      </c>
      <c r="J20">
        <f t="shared" si="3"/>
        <v>2.5465518030302743</v>
      </c>
      <c r="K20">
        <f t="shared" si="4"/>
        <v>0.83344819696972661</v>
      </c>
      <c r="L20">
        <f t="shared" si="5"/>
        <v>3.3800000000000008</v>
      </c>
      <c r="M20">
        <f t="shared" si="6"/>
        <v>0.83344819696972661</v>
      </c>
      <c r="N20">
        <f t="shared" si="7"/>
        <v>2.5465518030302743</v>
      </c>
      <c r="O20">
        <v>0.79</v>
      </c>
      <c r="P20">
        <f t="shared" si="8"/>
        <v>3.2234832949750305</v>
      </c>
      <c r="Q20">
        <f>SUM($P$2:P20)</f>
        <v>1328.7312551054674</v>
      </c>
      <c r="R20">
        <f t="shared" si="9"/>
        <v>664.36562755273371</v>
      </c>
    </row>
    <row r="21" spans="1:18" x14ac:dyDescent="0.25">
      <c r="A21" t="s">
        <v>98</v>
      </c>
      <c r="B21" s="1">
        <v>43315.625</v>
      </c>
      <c r="C21" s="1">
        <v>43317.111111053244</v>
      </c>
      <c r="D21" s="3">
        <v>10.98</v>
      </c>
      <c r="E21">
        <f t="shared" si="0"/>
        <v>2.9700000000000006</v>
      </c>
      <c r="F21" s="2">
        <f t="shared" si="1"/>
        <v>35.66666527785128</v>
      </c>
      <c r="G21">
        <f t="shared" si="2"/>
        <v>0.33144892525318337</v>
      </c>
      <c r="H21">
        <v>1</v>
      </c>
      <c r="I21">
        <v>1</v>
      </c>
      <c r="J21">
        <f t="shared" si="3"/>
        <v>2.2306525948302798</v>
      </c>
      <c r="K21">
        <f t="shared" si="4"/>
        <v>0.73934740516972097</v>
      </c>
      <c r="L21">
        <f t="shared" si="5"/>
        <v>2.9700000000000006</v>
      </c>
      <c r="M21">
        <f t="shared" si="6"/>
        <v>0.73934740516972097</v>
      </c>
      <c r="N21">
        <f t="shared" si="7"/>
        <v>2.2306525948302798</v>
      </c>
      <c r="O21">
        <v>1.0529000000000002</v>
      </c>
      <c r="P21">
        <f t="shared" si="8"/>
        <v>2.1185797272583144</v>
      </c>
      <c r="Q21">
        <f>SUM($P$2:P21)</f>
        <v>1330.8498348327257</v>
      </c>
      <c r="R21">
        <f t="shared" si="9"/>
        <v>665.42491741636286</v>
      </c>
    </row>
    <row r="22" spans="1:18" x14ac:dyDescent="0.25">
      <c r="A22" t="s">
        <v>15</v>
      </c>
      <c r="B22" s="1">
        <v>43315.625</v>
      </c>
      <c r="C22" s="1">
        <v>43317.134027719905</v>
      </c>
      <c r="D22" s="3">
        <v>8.01</v>
      </c>
      <c r="E22">
        <f t="shared" si="0"/>
        <v>0</v>
      </c>
      <c r="F22" s="2">
        <f>(C22-B22)*24</f>
        <v>36.216665277723223</v>
      </c>
      <c r="G22">
        <f>1-EXP(-$S$3*F22)</f>
        <v>0.33558708075941457</v>
      </c>
      <c r="H22">
        <v>1</v>
      </c>
      <c r="I22">
        <v>1</v>
      </c>
      <c r="J22">
        <f>E22/((1+G22)*(H22/I22))</f>
        <v>0</v>
      </c>
      <c r="K22">
        <f>N22*G22*H22</f>
        <v>0</v>
      </c>
      <c r="L22">
        <f>M22+N22</f>
        <v>0</v>
      </c>
      <c r="M22">
        <f>K22/H22</f>
        <v>0</v>
      </c>
      <c r="N22">
        <f>J22/I22</f>
        <v>0</v>
      </c>
    </row>
    <row r="27" spans="1:18" x14ac:dyDescent="0.25">
      <c r="E27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J1" workbookViewId="0">
      <selection activeCell="S15" sqref="S15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42578125" bestFit="1" customWidth="1"/>
    <col min="17" max="17" width="24.7109375" bestFit="1" customWidth="1"/>
    <col min="18" max="18" width="24.7109375" customWidth="1"/>
    <col min="19" max="19" width="22.140625" bestFit="1" customWidth="1"/>
  </cols>
  <sheetData>
    <row r="1" spans="1:1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142</v>
      </c>
      <c r="P1" t="s">
        <v>143</v>
      </c>
      <c r="Q1" t="s">
        <v>145</v>
      </c>
      <c r="R1" t="s">
        <v>146</v>
      </c>
    </row>
    <row r="2" spans="1:19" x14ac:dyDescent="0.25">
      <c r="A2" t="s">
        <v>58</v>
      </c>
      <c r="B2" s="1">
        <v>43319.458333333336</v>
      </c>
      <c r="C2" s="1">
        <v>43320.111805555556</v>
      </c>
      <c r="D2" s="3">
        <v>12.11</v>
      </c>
      <c r="E2">
        <f t="shared" ref="E2:E22" si="0">D2-$D$22</f>
        <v>4.7099999999999991</v>
      </c>
      <c r="F2" s="2">
        <f>(C2-B2)*24</f>
        <v>15.683333333290648</v>
      </c>
      <c r="G2">
        <f t="shared" ref="G2:G22" si="1">1-EXP(-$S$3*F2)</f>
        <v>0.16226194353594381</v>
      </c>
      <c r="H2">
        <v>1</v>
      </c>
      <c r="I2">
        <v>1</v>
      </c>
      <c r="J2">
        <f>E2/((1+G2)*(H2/I2))</f>
        <v>4.052442761457705</v>
      </c>
      <c r="K2">
        <f>N2*G2*H2</f>
        <v>0.65755723854229431</v>
      </c>
      <c r="L2">
        <f>M2+N2</f>
        <v>4.7099999999999991</v>
      </c>
      <c r="M2">
        <f>K2/H2</f>
        <v>0.65755723854229431</v>
      </c>
      <c r="N2">
        <f>J2/I2</f>
        <v>4.052442761457705</v>
      </c>
      <c r="O2">
        <v>0.73899999999999988</v>
      </c>
      <c r="P2">
        <f>N2/O2</f>
        <v>5.4836843862756508</v>
      </c>
      <c r="Q2">
        <f>SUM($P$2:P2)</f>
        <v>5.4836843862756508</v>
      </c>
      <c r="R2">
        <f>Q2/2</f>
        <v>2.7418421931378254</v>
      </c>
      <c r="S2" t="s">
        <v>2</v>
      </c>
    </row>
    <row r="3" spans="1:19" x14ac:dyDescent="0.25">
      <c r="A3" t="s">
        <v>59</v>
      </c>
      <c r="B3" s="1">
        <v>43319.458333333336</v>
      </c>
      <c r="C3" s="1">
        <v>43320.134722222225</v>
      </c>
      <c r="D3" s="3">
        <v>13.3</v>
      </c>
      <c r="E3">
        <f t="shared" si="0"/>
        <v>5.9</v>
      </c>
      <c r="F3" s="2">
        <f t="shared" ref="F3:F21" si="2">(C3-B3)*24</f>
        <v>16.233333333337214</v>
      </c>
      <c r="G3">
        <f t="shared" si="1"/>
        <v>0.16744732201064938</v>
      </c>
      <c r="H3">
        <v>1</v>
      </c>
      <c r="I3">
        <v>1</v>
      </c>
      <c r="J3">
        <f t="shared" ref="J3:J21" si="3">E3/((1+G3)*(H3/I3))</f>
        <v>5.0537612179696971</v>
      </c>
      <c r="K3">
        <f t="shared" ref="K3:K21" si="4">N3*G3*H3</f>
        <v>0.84623878203030345</v>
      </c>
      <c r="L3">
        <f t="shared" ref="L3:L21" si="5">M3+N3</f>
        <v>5.9</v>
      </c>
      <c r="M3">
        <f t="shared" ref="M3:M21" si="6">K3/H3</f>
        <v>0.84623878203030345</v>
      </c>
      <c r="N3">
        <f t="shared" ref="N3:N21" si="7">J3/I3</f>
        <v>5.0537612179696971</v>
      </c>
      <c r="O3">
        <v>1.0236000000000001</v>
      </c>
      <c r="P3">
        <f t="shared" ref="P3:P21" si="8">N3/O3</f>
        <v>4.9372422996968508</v>
      </c>
      <c r="Q3">
        <f>SUM($P$2:P3)</f>
        <v>10.420926685972502</v>
      </c>
      <c r="R3">
        <f t="shared" ref="R3:R21" si="9">Q3/2</f>
        <v>5.2104633429862508</v>
      </c>
      <c r="S3">
        <f>LN(2)/61.4</f>
        <v>1.1289042028663604E-2</v>
      </c>
    </row>
    <row r="4" spans="1:19" x14ac:dyDescent="0.25">
      <c r="A4" t="s">
        <v>60</v>
      </c>
      <c r="B4" s="1">
        <v>43319.458333333336</v>
      </c>
      <c r="C4" s="1">
        <v>43320.157638888886</v>
      </c>
      <c r="D4" s="3">
        <v>13.78</v>
      </c>
      <c r="E4">
        <f t="shared" si="0"/>
        <v>6.379999999999999</v>
      </c>
      <c r="F4" s="2">
        <f t="shared" si="2"/>
        <v>16.783333333209157</v>
      </c>
      <c r="G4">
        <f t="shared" si="1"/>
        <v>0.17260060435329438</v>
      </c>
      <c r="H4">
        <v>1</v>
      </c>
      <c r="I4">
        <v>1</v>
      </c>
      <c r="J4">
        <f t="shared" si="3"/>
        <v>5.4408977586350966</v>
      </c>
      <c r="K4">
        <f t="shared" si="4"/>
        <v>0.9391022413649025</v>
      </c>
      <c r="L4">
        <f t="shared" si="5"/>
        <v>6.379999999999999</v>
      </c>
      <c r="M4">
        <f t="shared" si="6"/>
        <v>0.9391022413649025</v>
      </c>
      <c r="N4">
        <f t="shared" si="7"/>
        <v>5.4408977586350966</v>
      </c>
      <c r="O4">
        <v>0.96440000000000037</v>
      </c>
      <c r="P4">
        <f t="shared" si="8"/>
        <v>5.6417438393146977</v>
      </c>
      <c r="Q4">
        <f>SUM($P$2:P4)</f>
        <v>16.062670525287199</v>
      </c>
      <c r="R4">
        <f t="shared" si="9"/>
        <v>8.0313352626435996</v>
      </c>
    </row>
    <row r="5" spans="1:19" x14ac:dyDescent="0.25">
      <c r="A5" t="s">
        <v>61</v>
      </c>
      <c r="B5" s="1">
        <v>43319.458333333336</v>
      </c>
      <c r="C5" s="1">
        <v>43320.180555555555</v>
      </c>
      <c r="D5" s="3">
        <v>19</v>
      </c>
      <c r="E5">
        <f t="shared" si="0"/>
        <v>11.6</v>
      </c>
      <c r="F5" s="2">
        <f t="shared" si="2"/>
        <v>17.333333333255723</v>
      </c>
      <c r="G5">
        <f t="shared" si="1"/>
        <v>0.17772198923376614</v>
      </c>
      <c r="H5">
        <v>1</v>
      </c>
      <c r="I5">
        <v>1</v>
      </c>
      <c r="J5">
        <f t="shared" si="3"/>
        <v>9.8495231523587652</v>
      </c>
      <c r="K5">
        <f t="shared" si="4"/>
        <v>1.7504768476412349</v>
      </c>
      <c r="L5">
        <f t="shared" si="5"/>
        <v>11.6</v>
      </c>
      <c r="M5">
        <f t="shared" si="6"/>
        <v>1.7504768476412349</v>
      </c>
      <c r="N5">
        <f t="shared" si="7"/>
        <v>9.8495231523587652</v>
      </c>
      <c r="O5">
        <v>0.88670000000000027</v>
      </c>
      <c r="P5">
        <f t="shared" si="8"/>
        <v>11.108067161789513</v>
      </c>
      <c r="Q5">
        <f>SUM($P$2:P5)</f>
        <v>27.170737687076713</v>
      </c>
      <c r="R5">
        <f t="shared" si="9"/>
        <v>13.585368843538356</v>
      </c>
    </row>
    <row r="6" spans="1:19" x14ac:dyDescent="0.25">
      <c r="A6" t="s">
        <v>62</v>
      </c>
      <c r="B6" s="1">
        <v>43319.458333333336</v>
      </c>
      <c r="C6" s="1">
        <v>43320.203472222223</v>
      </c>
      <c r="D6" s="3">
        <v>114.27</v>
      </c>
      <c r="E6">
        <f t="shared" si="0"/>
        <v>106.86999999999999</v>
      </c>
      <c r="F6" s="2">
        <f t="shared" si="2"/>
        <v>17.883333333302289</v>
      </c>
      <c r="G6">
        <f t="shared" si="1"/>
        <v>0.18281167408734411</v>
      </c>
      <c r="H6">
        <v>1</v>
      </c>
      <c r="I6">
        <v>1</v>
      </c>
      <c r="J6">
        <f t="shared" si="3"/>
        <v>90.352506947025802</v>
      </c>
      <c r="K6">
        <f t="shared" si="4"/>
        <v>16.517493052974174</v>
      </c>
      <c r="L6">
        <f t="shared" si="5"/>
        <v>106.86999999999998</v>
      </c>
      <c r="M6">
        <f t="shared" si="6"/>
        <v>16.517493052974174</v>
      </c>
      <c r="N6">
        <f t="shared" si="7"/>
        <v>90.352506947025802</v>
      </c>
      <c r="O6">
        <v>0.76100000000000012</v>
      </c>
      <c r="P6">
        <f t="shared" si="8"/>
        <v>118.72865564655163</v>
      </c>
      <c r="Q6">
        <f>SUM($P$2:P6)</f>
        <v>145.89939333362835</v>
      </c>
      <c r="R6">
        <f t="shared" si="9"/>
        <v>72.949696666814177</v>
      </c>
    </row>
    <row r="7" spans="1:19" x14ac:dyDescent="0.25">
      <c r="A7" t="s">
        <v>63</v>
      </c>
      <c r="B7" s="1">
        <v>43319.458333333336</v>
      </c>
      <c r="C7" s="1">
        <v>43320.226388888892</v>
      </c>
      <c r="D7" s="3">
        <v>342.45</v>
      </c>
      <c r="E7">
        <f t="shared" si="0"/>
        <v>335.05</v>
      </c>
      <c r="F7" s="2">
        <f t="shared" si="2"/>
        <v>18.433333333348855</v>
      </c>
      <c r="G7">
        <f t="shared" si="1"/>
        <v>0.18786985512886623</v>
      </c>
      <c r="H7">
        <v>1</v>
      </c>
      <c r="I7">
        <v>1</v>
      </c>
      <c r="J7">
        <f t="shared" si="3"/>
        <v>282.05951902336312</v>
      </c>
      <c r="K7">
        <f t="shared" si="4"/>
        <v>52.990480976636917</v>
      </c>
      <c r="L7">
        <f t="shared" si="5"/>
        <v>335.05000000000007</v>
      </c>
      <c r="M7">
        <f t="shared" si="6"/>
        <v>52.990480976636917</v>
      </c>
      <c r="N7">
        <f t="shared" si="7"/>
        <v>282.05951902336312</v>
      </c>
      <c r="O7">
        <v>0.82000000000000028</v>
      </c>
      <c r="P7">
        <f t="shared" si="8"/>
        <v>343.97502319922319</v>
      </c>
      <c r="Q7">
        <f>SUM($P$2:P7)</f>
        <v>489.87441653285157</v>
      </c>
      <c r="R7">
        <f t="shared" si="9"/>
        <v>244.93720826642578</v>
      </c>
    </row>
    <row r="8" spans="1:19" x14ac:dyDescent="0.25">
      <c r="A8" t="s">
        <v>64</v>
      </c>
      <c r="B8" s="1">
        <v>43319.458333333336</v>
      </c>
      <c r="C8" s="1">
        <v>43320.249305555553</v>
      </c>
      <c r="D8" s="3">
        <v>351.55</v>
      </c>
      <c r="E8">
        <f t="shared" si="0"/>
        <v>344.15000000000003</v>
      </c>
      <c r="F8" s="2">
        <f t="shared" si="2"/>
        <v>18.983333333220799</v>
      </c>
      <c r="G8">
        <f t="shared" si="1"/>
        <v>0.19289672735706143</v>
      </c>
      <c r="H8">
        <v>1</v>
      </c>
      <c r="I8">
        <v>1</v>
      </c>
      <c r="J8">
        <f t="shared" si="3"/>
        <v>288.49940829537377</v>
      </c>
      <c r="K8">
        <f t="shared" si="4"/>
        <v>55.650591704626258</v>
      </c>
      <c r="L8">
        <f t="shared" si="5"/>
        <v>344.15000000000003</v>
      </c>
      <c r="M8">
        <f t="shared" si="6"/>
        <v>55.650591704626258</v>
      </c>
      <c r="N8">
        <f t="shared" si="7"/>
        <v>288.49940829537377</v>
      </c>
      <c r="O8">
        <v>0.81289999999999996</v>
      </c>
      <c r="P8">
        <f t="shared" si="8"/>
        <v>354.90147409936498</v>
      </c>
      <c r="Q8">
        <f>SUM($P$2:P8)</f>
        <v>844.77589063221649</v>
      </c>
      <c r="R8">
        <f t="shared" si="9"/>
        <v>422.38794531610824</v>
      </c>
    </row>
    <row r="9" spans="1:19" x14ac:dyDescent="0.25">
      <c r="A9" t="s">
        <v>65</v>
      </c>
      <c r="B9" s="1">
        <v>43319.458333333336</v>
      </c>
      <c r="C9" s="1">
        <v>43320.272222222222</v>
      </c>
      <c r="D9" s="3">
        <v>230.49</v>
      </c>
      <c r="E9">
        <f t="shared" si="0"/>
        <v>223.09</v>
      </c>
      <c r="F9" s="2">
        <f t="shared" si="2"/>
        <v>19.533333333267365</v>
      </c>
      <c r="G9">
        <f t="shared" si="1"/>
        <v>0.19789248456844055</v>
      </c>
      <c r="H9">
        <v>1</v>
      </c>
      <c r="I9">
        <v>1</v>
      </c>
      <c r="J9">
        <f t="shared" si="3"/>
        <v>186.2354116699978</v>
      </c>
      <c r="K9">
        <f t="shared" si="4"/>
        <v>36.854588330002215</v>
      </c>
      <c r="L9">
        <f t="shared" si="5"/>
        <v>223.09000000000003</v>
      </c>
      <c r="M9">
        <f t="shared" si="6"/>
        <v>36.854588330002215</v>
      </c>
      <c r="N9">
        <f t="shared" si="7"/>
        <v>186.2354116699978</v>
      </c>
      <c r="O9">
        <v>0.80759999999999987</v>
      </c>
      <c r="P9">
        <f t="shared" si="8"/>
        <v>230.60353104259266</v>
      </c>
      <c r="Q9">
        <f>SUM($P$2:P9)</f>
        <v>1075.3794216748092</v>
      </c>
      <c r="R9">
        <f t="shared" si="9"/>
        <v>537.68971083740462</v>
      </c>
    </row>
    <row r="10" spans="1:19" x14ac:dyDescent="0.25">
      <c r="A10" t="s">
        <v>66</v>
      </c>
      <c r="B10" s="1">
        <v>43319.458333333336</v>
      </c>
      <c r="C10" s="1">
        <v>43320.293749999997</v>
      </c>
      <c r="D10" s="3">
        <v>144.19</v>
      </c>
      <c r="E10">
        <f t="shared" si="0"/>
        <v>136.79</v>
      </c>
      <c r="F10" s="2">
        <f t="shared" si="2"/>
        <v>20.049999999871943</v>
      </c>
      <c r="G10">
        <f t="shared" si="1"/>
        <v>0.20255729700085034</v>
      </c>
      <c r="H10">
        <v>1</v>
      </c>
      <c r="I10">
        <v>1</v>
      </c>
      <c r="J10">
        <f t="shared" si="3"/>
        <v>113.74925780347519</v>
      </c>
      <c r="K10">
        <f t="shared" si="4"/>
        <v>23.040742196524818</v>
      </c>
      <c r="L10">
        <f t="shared" si="5"/>
        <v>136.79000000000002</v>
      </c>
      <c r="M10">
        <f t="shared" si="6"/>
        <v>23.040742196524818</v>
      </c>
      <c r="N10">
        <f t="shared" si="7"/>
        <v>113.74925780347519</v>
      </c>
      <c r="O10">
        <v>0.82800000000000029</v>
      </c>
      <c r="P10">
        <f t="shared" si="8"/>
        <v>137.37833068052555</v>
      </c>
      <c r="Q10">
        <f>SUM($P$2:P10)</f>
        <v>1212.7577523553348</v>
      </c>
      <c r="R10">
        <f t="shared" si="9"/>
        <v>606.37887617766739</v>
      </c>
    </row>
    <row r="11" spans="1:19" x14ac:dyDescent="0.25">
      <c r="A11" t="s">
        <v>67</v>
      </c>
      <c r="B11" s="1">
        <v>43319.458333333336</v>
      </c>
      <c r="C11" s="1">
        <v>43320.316666666666</v>
      </c>
      <c r="D11" s="3">
        <v>83.76</v>
      </c>
      <c r="E11">
        <f t="shared" si="0"/>
        <v>76.36</v>
      </c>
      <c r="F11" s="2">
        <f t="shared" si="2"/>
        <v>20.599999999918509</v>
      </c>
      <c r="G11">
        <f t="shared" si="1"/>
        <v>0.20749325782420847</v>
      </c>
      <c r="H11">
        <v>1</v>
      </c>
      <c r="I11">
        <v>1</v>
      </c>
      <c r="J11">
        <f t="shared" si="3"/>
        <v>63.238448335184643</v>
      </c>
      <c r="K11">
        <f t="shared" si="4"/>
        <v>13.121551664815353</v>
      </c>
      <c r="L11">
        <f t="shared" si="5"/>
        <v>76.36</v>
      </c>
      <c r="M11">
        <f t="shared" si="6"/>
        <v>13.121551664815353</v>
      </c>
      <c r="N11">
        <f t="shared" si="7"/>
        <v>63.238448335184643</v>
      </c>
      <c r="O11">
        <v>0.80069999999999997</v>
      </c>
      <c r="P11">
        <f t="shared" si="8"/>
        <v>78.97895383437573</v>
      </c>
      <c r="Q11">
        <f>SUM($P$2:P11)</f>
        <v>1291.7367061897105</v>
      </c>
      <c r="R11">
        <f t="shared" si="9"/>
        <v>645.86835309485525</v>
      </c>
    </row>
    <row r="12" spans="1:19" x14ac:dyDescent="0.25">
      <c r="A12" t="s">
        <v>68</v>
      </c>
      <c r="B12" s="1">
        <v>43319.458333333336</v>
      </c>
      <c r="C12" s="1">
        <v>43320.339583275461</v>
      </c>
      <c r="D12" s="3">
        <v>51.82</v>
      </c>
      <c r="E12">
        <f t="shared" si="0"/>
        <v>44.42</v>
      </c>
      <c r="F12" s="2">
        <f t="shared" si="2"/>
        <v>21.149998611013871</v>
      </c>
      <c r="G12">
        <f t="shared" si="1"/>
        <v>0.21239865399733804</v>
      </c>
      <c r="H12">
        <v>1</v>
      </c>
      <c r="I12">
        <v>1</v>
      </c>
      <c r="J12">
        <f t="shared" si="3"/>
        <v>36.638113918672772</v>
      </c>
      <c r="K12">
        <f t="shared" si="4"/>
        <v>7.781886081327233</v>
      </c>
      <c r="L12">
        <f t="shared" si="5"/>
        <v>44.42</v>
      </c>
      <c r="M12">
        <f t="shared" si="6"/>
        <v>7.781886081327233</v>
      </c>
      <c r="N12">
        <f t="shared" si="7"/>
        <v>36.638113918672772</v>
      </c>
      <c r="O12">
        <v>0.80729999999999968</v>
      </c>
      <c r="P12">
        <f t="shared" si="8"/>
        <v>45.383517798430304</v>
      </c>
      <c r="Q12">
        <f>SUM($P$2:P12)</f>
        <v>1337.1202239881409</v>
      </c>
      <c r="R12">
        <f t="shared" si="9"/>
        <v>668.56011199407044</v>
      </c>
    </row>
    <row r="13" spans="1:19" x14ac:dyDescent="0.25">
      <c r="A13" t="s">
        <v>69</v>
      </c>
      <c r="B13" s="1">
        <v>43319.458333333336</v>
      </c>
      <c r="C13" s="1">
        <v>43320.36249994213</v>
      </c>
      <c r="D13" s="3">
        <v>33.74</v>
      </c>
      <c r="E13">
        <f t="shared" si="0"/>
        <v>26.340000000000003</v>
      </c>
      <c r="F13" s="2">
        <f t="shared" si="2"/>
        <v>21.699998611060437</v>
      </c>
      <c r="G13">
        <f t="shared" si="1"/>
        <v>0.21727369940645935</v>
      </c>
      <c r="H13">
        <v>1</v>
      </c>
      <c r="I13">
        <v>1</v>
      </c>
      <c r="J13">
        <f t="shared" si="3"/>
        <v>21.638518940188508</v>
      </c>
      <c r="K13">
        <f t="shared" si="4"/>
        <v>4.7014810598114956</v>
      </c>
      <c r="L13">
        <f t="shared" si="5"/>
        <v>26.340000000000003</v>
      </c>
      <c r="M13">
        <f t="shared" si="6"/>
        <v>4.7014810598114956</v>
      </c>
      <c r="N13">
        <f t="shared" si="7"/>
        <v>21.638518940188508</v>
      </c>
      <c r="O13">
        <v>0.82390000000000008</v>
      </c>
      <c r="P13">
        <f t="shared" si="8"/>
        <v>26.263525840743423</v>
      </c>
      <c r="Q13">
        <f>SUM($P$2:P13)</f>
        <v>1363.3837498288842</v>
      </c>
      <c r="R13">
        <f t="shared" si="9"/>
        <v>681.69187491444211</v>
      </c>
    </row>
    <row r="14" spans="1:19" x14ac:dyDescent="0.25">
      <c r="A14" t="s">
        <v>70</v>
      </c>
      <c r="B14" s="1">
        <v>43319.458333333336</v>
      </c>
      <c r="C14" s="1">
        <v>43320.385416608799</v>
      </c>
      <c r="D14" s="3">
        <v>21.66</v>
      </c>
      <c r="E14">
        <f t="shared" si="0"/>
        <v>14.26</v>
      </c>
      <c r="F14" s="2">
        <f t="shared" si="2"/>
        <v>22.249998611107003</v>
      </c>
      <c r="G14">
        <f t="shared" si="1"/>
        <v>0.22211856956529497</v>
      </c>
      <c r="H14">
        <v>1</v>
      </c>
      <c r="I14">
        <v>1</v>
      </c>
      <c r="J14">
        <f t="shared" si="3"/>
        <v>11.668262274316191</v>
      </c>
      <c r="K14">
        <f t="shared" si="4"/>
        <v>2.5917377256838079</v>
      </c>
      <c r="L14">
        <f t="shared" si="5"/>
        <v>14.26</v>
      </c>
      <c r="M14">
        <f t="shared" si="6"/>
        <v>2.5917377256838079</v>
      </c>
      <c r="N14">
        <f t="shared" si="7"/>
        <v>11.668262274316191</v>
      </c>
      <c r="O14">
        <v>0.81879999999999953</v>
      </c>
      <c r="P14">
        <f t="shared" si="8"/>
        <v>14.250442445427696</v>
      </c>
      <c r="Q14">
        <f>SUM($P$2:P14)</f>
        <v>1377.634192274312</v>
      </c>
      <c r="R14">
        <f t="shared" si="9"/>
        <v>688.817096137156</v>
      </c>
    </row>
    <row r="15" spans="1:19" x14ac:dyDescent="0.25">
      <c r="A15" t="s">
        <v>71</v>
      </c>
      <c r="B15" s="1">
        <v>43319.458333333336</v>
      </c>
      <c r="C15" s="1">
        <v>43320.40833327546</v>
      </c>
      <c r="D15" s="3">
        <v>16.850000000000001</v>
      </c>
      <c r="E15">
        <f t="shared" si="0"/>
        <v>9.4500000000000011</v>
      </c>
      <c r="F15" s="2">
        <f t="shared" si="2"/>
        <v>22.799998610978946</v>
      </c>
      <c r="G15">
        <f t="shared" si="1"/>
        <v>0.2269334512491924</v>
      </c>
      <c r="H15">
        <v>1</v>
      </c>
      <c r="I15">
        <v>1</v>
      </c>
      <c r="J15">
        <f t="shared" si="3"/>
        <v>7.70212923152316</v>
      </c>
      <c r="K15">
        <f t="shared" si="4"/>
        <v>1.7478707684768406</v>
      </c>
      <c r="L15">
        <f t="shared" si="5"/>
        <v>9.4500000000000011</v>
      </c>
      <c r="M15">
        <f t="shared" si="6"/>
        <v>1.7478707684768406</v>
      </c>
      <c r="N15">
        <f t="shared" si="7"/>
        <v>7.70212923152316</v>
      </c>
      <c r="O15">
        <v>0.8030999999999997</v>
      </c>
      <c r="P15">
        <f t="shared" si="8"/>
        <v>9.5904983582656733</v>
      </c>
      <c r="Q15">
        <f>SUM($P$2:P15)</f>
        <v>1387.2246906325777</v>
      </c>
      <c r="R15">
        <f t="shared" si="9"/>
        <v>693.61234531628884</v>
      </c>
    </row>
    <row r="16" spans="1:19" x14ac:dyDescent="0.25">
      <c r="A16" t="s">
        <v>72</v>
      </c>
      <c r="B16" s="1">
        <v>43319.458333333336</v>
      </c>
      <c r="C16" s="1">
        <v>43320.431249942128</v>
      </c>
      <c r="D16" s="3">
        <v>13.2</v>
      </c>
      <c r="E16">
        <f t="shared" si="0"/>
        <v>5.7999999999999989</v>
      </c>
      <c r="F16" s="2">
        <f t="shared" si="2"/>
        <v>23.349998611025512</v>
      </c>
      <c r="G16">
        <f t="shared" si="1"/>
        <v>0.23171853008198062</v>
      </c>
      <c r="H16">
        <v>1</v>
      </c>
      <c r="I16">
        <v>1</v>
      </c>
      <c r="J16">
        <f t="shared" si="3"/>
        <v>4.708868023292597</v>
      </c>
      <c r="K16">
        <f t="shared" si="4"/>
        <v>1.0911319767074024</v>
      </c>
      <c r="L16">
        <f t="shared" si="5"/>
        <v>5.7999999999999989</v>
      </c>
      <c r="M16">
        <f t="shared" si="6"/>
        <v>1.0911319767074024</v>
      </c>
      <c r="N16">
        <f t="shared" si="7"/>
        <v>4.708868023292597</v>
      </c>
      <c r="O16">
        <v>0.82850000000000001</v>
      </c>
      <c r="P16">
        <f t="shared" si="8"/>
        <v>5.6836065459174376</v>
      </c>
      <c r="Q16">
        <f>SUM($P$2:P16)</f>
        <v>1392.9082971784951</v>
      </c>
      <c r="R16">
        <f t="shared" si="9"/>
        <v>696.45414858924755</v>
      </c>
    </row>
    <row r="17" spans="1:18" x14ac:dyDescent="0.25">
      <c r="A17" t="s">
        <v>73</v>
      </c>
      <c r="B17" s="1">
        <v>43319.458333333336</v>
      </c>
      <c r="C17" s="1">
        <v>43320.454166608797</v>
      </c>
      <c r="D17" s="3">
        <v>10.67</v>
      </c>
      <c r="E17">
        <f t="shared" si="0"/>
        <v>3.2699999999999996</v>
      </c>
      <c r="F17" s="2">
        <f>(C17-B17)*24</f>
        <v>23.899998611072078</v>
      </c>
      <c r="G17">
        <f t="shared" si="1"/>
        <v>0.23647399053395413</v>
      </c>
      <c r="H17">
        <v>1</v>
      </c>
      <c r="I17">
        <v>1</v>
      </c>
      <c r="J17">
        <f>E17/((1+G17)*(H17/I17))</f>
        <v>2.644616890475711</v>
      </c>
      <c r="K17">
        <f>N17*G17*H17</f>
        <v>0.62538310952428844</v>
      </c>
      <c r="L17">
        <f>M17+N17</f>
        <v>3.2699999999999996</v>
      </c>
      <c r="M17">
        <f>K17/H17</f>
        <v>0.62538310952428844</v>
      </c>
      <c r="N17">
        <f>J17/I17</f>
        <v>2.644616890475711</v>
      </c>
      <c r="O17">
        <v>0.80900000000000016</v>
      </c>
      <c r="P17">
        <f t="shared" si="8"/>
        <v>3.2689949202419166</v>
      </c>
      <c r="Q17">
        <f>SUM($P$2:P17)</f>
        <v>1396.1772920987371</v>
      </c>
      <c r="R17">
        <f t="shared" si="9"/>
        <v>698.08864604936855</v>
      </c>
    </row>
    <row r="18" spans="1:18" x14ac:dyDescent="0.25">
      <c r="A18" t="s">
        <v>74</v>
      </c>
      <c r="B18" s="1">
        <v>43319.458333333336</v>
      </c>
      <c r="C18" s="1">
        <v>43320.477083275466</v>
      </c>
      <c r="D18" s="3">
        <v>9.82</v>
      </c>
      <c r="E18">
        <f t="shared" si="0"/>
        <v>2.42</v>
      </c>
      <c r="F18" s="2">
        <f t="shared" si="2"/>
        <v>24.449998611118644</v>
      </c>
      <c r="G18">
        <f t="shared" si="1"/>
        <v>0.24120001593510887</v>
      </c>
      <c r="H18">
        <v>1</v>
      </c>
      <c r="I18">
        <v>1</v>
      </c>
      <c r="J18">
        <f t="shared" si="3"/>
        <v>1.9497260465121682</v>
      </c>
      <c r="K18">
        <f t="shared" si="4"/>
        <v>0.4702739534878318</v>
      </c>
      <c r="L18">
        <f t="shared" si="5"/>
        <v>2.42</v>
      </c>
      <c r="M18">
        <f t="shared" si="6"/>
        <v>0.4702739534878318</v>
      </c>
      <c r="N18">
        <f t="shared" si="7"/>
        <v>1.9497260465121682</v>
      </c>
      <c r="O18">
        <v>0.82690000000000019</v>
      </c>
      <c r="P18">
        <f t="shared" si="8"/>
        <v>2.3578740434298799</v>
      </c>
      <c r="Q18">
        <f>SUM($P$2:P18)</f>
        <v>1398.5351661421669</v>
      </c>
      <c r="R18">
        <f t="shared" si="9"/>
        <v>699.26758307108344</v>
      </c>
    </row>
    <row r="19" spans="1:18" x14ac:dyDescent="0.25">
      <c r="A19" t="s">
        <v>75</v>
      </c>
      <c r="B19" s="1">
        <v>43319.458333333336</v>
      </c>
      <c r="C19" s="1">
        <v>43320.499999942127</v>
      </c>
      <c r="D19" s="3">
        <v>9</v>
      </c>
      <c r="E19">
        <f t="shared" si="0"/>
        <v>1.5999999999999996</v>
      </c>
      <c r="F19" s="2">
        <f t="shared" si="2"/>
        <v>24.999998610990588</v>
      </c>
      <c r="G19">
        <f t="shared" si="1"/>
        <v>0.24589678847918917</v>
      </c>
      <c r="H19">
        <v>1</v>
      </c>
      <c r="I19">
        <v>1</v>
      </c>
      <c r="J19">
        <f t="shared" si="3"/>
        <v>1.2842155263543529</v>
      </c>
      <c r="K19">
        <f t="shared" si="4"/>
        <v>0.31578447364564688</v>
      </c>
      <c r="L19">
        <f t="shared" si="5"/>
        <v>1.5999999999999996</v>
      </c>
      <c r="M19">
        <f t="shared" si="6"/>
        <v>0.31578447364564688</v>
      </c>
      <c r="N19">
        <f t="shared" si="7"/>
        <v>1.2842155263543529</v>
      </c>
      <c r="O19">
        <v>0.82570000000000032</v>
      </c>
      <c r="P19">
        <f t="shared" si="8"/>
        <v>1.5553052275092072</v>
      </c>
      <c r="Q19">
        <f>SUM($P$2:P19)</f>
        <v>1400.0904713696762</v>
      </c>
      <c r="R19">
        <f t="shared" si="9"/>
        <v>700.04523568483808</v>
      </c>
    </row>
    <row r="20" spans="1:18" x14ac:dyDescent="0.25">
      <c r="A20" t="s">
        <v>76</v>
      </c>
      <c r="B20" s="1">
        <v>43319.458333333336</v>
      </c>
      <c r="C20" s="1">
        <v>43320.522916608796</v>
      </c>
      <c r="D20" s="3">
        <v>9.07</v>
      </c>
      <c r="E20">
        <f t="shared" si="0"/>
        <v>1.67</v>
      </c>
      <c r="F20" s="2">
        <f t="shared" si="2"/>
        <v>25.549998611037154</v>
      </c>
      <c r="G20">
        <f t="shared" si="1"/>
        <v>0.25056448923666819</v>
      </c>
      <c r="H20">
        <v>1</v>
      </c>
      <c r="I20">
        <v>1</v>
      </c>
      <c r="J20">
        <f t="shared" si="3"/>
        <v>1.3353969462377353</v>
      </c>
      <c r="K20">
        <f t="shared" si="4"/>
        <v>0.33460305376226457</v>
      </c>
      <c r="L20">
        <f t="shared" si="5"/>
        <v>1.67</v>
      </c>
      <c r="M20">
        <f t="shared" si="6"/>
        <v>0.33460305376226457</v>
      </c>
      <c r="N20">
        <f t="shared" si="7"/>
        <v>1.3353969462377353</v>
      </c>
      <c r="O20">
        <v>0.76100000000000012</v>
      </c>
      <c r="P20">
        <f t="shared" si="8"/>
        <v>1.7547923078025429</v>
      </c>
      <c r="Q20">
        <f>SUM($P$2:P20)</f>
        <v>1401.8452636774787</v>
      </c>
      <c r="R20">
        <f t="shared" si="9"/>
        <v>700.92263183873933</v>
      </c>
    </row>
    <row r="21" spans="1:18" x14ac:dyDescent="0.25">
      <c r="A21" t="s">
        <v>77</v>
      </c>
      <c r="B21" s="1">
        <v>43319.458333333336</v>
      </c>
      <c r="C21" s="1">
        <v>43320.545833275464</v>
      </c>
      <c r="D21" s="3">
        <v>9.3800000000000008</v>
      </c>
      <c r="E21">
        <f t="shared" si="0"/>
        <v>1.9800000000000004</v>
      </c>
      <c r="F21" s="2">
        <f t="shared" si="2"/>
        <v>26.09999861108372</v>
      </c>
      <c r="G21">
        <f t="shared" si="1"/>
        <v>0.25520329815278064</v>
      </c>
      <c r="H21">
        <v>1</v>
      </c>
      <c r="I21">
        <v>1</v>
      </c>
      <c r="J21">
        <f t="shared" si="3"/>
        <v>1.5774337136572751</v>
      </c>
      <c r="K21">
        <f t="shared" si="4"/>
        <v>0.40256628634272562</v>
      </c>
      <c r="L21">
        <f t="shared" si="5"/>
        <v>1.9800000000000009</v>
      </c>
      <c r="M21">
        <f t="shared" si="6"/>
        <v>0.40256628634272562</v>
      </c>
      <c r="N21">
        <f t="shared" si="7"/>
        <v>1.5774337136572751</v>
      </c>
      <c r="O21">
        <v>1.0965000000000007</v>
      </c>
      <c r="P21">
        <f t="shared" si="8"/>
        <v>1.4386080379911301</v>
      </c>
      <c r="Q21">
        <f>SUM($P$2:P21)</f>
        <v>1403.2838717154698</v>
      </c>
      <c r="R21">
        <f t="shared" si="9"/>
        <v>701.64193585773489</v>
      </c>
    </row>
    <row r="22" spans="1:18" x14ac:dyDescent="0.25">
      <c r="A22" t="s">
        <v>15</v>
      </c>
      <c r="B22" s="1">
        <v>43319.458333333336</v>
      </c>
      <c r="C22" s="1">
        <v>43320.568749942133</v>
      </c>
      <c r="D22" s="3">
        <v>7.4</v>
      </c>
      <c r="E22">
        <f t="shared" si="0"/>
        <v>0</v>
      </c>
      <c r="F22" s="2">
        <f>(C22-B22)*24</f>
        <v>26.649998611130286</v>
      </c>
      <c r="G22">
        <f t="shared" si="1"/>
        <v>0.2598133940604338</v>
      </c>
      <c r="H22">
        <v>1</v>
      </c>
      <c r="I22">
        <v>1</v>
      </c>
      <c r="J22">
        <f>E22/((1+G22)*(H22/I22))</f>
        <v>0</v>
      </c>
      <c r="K22">
        <f>N22*G22*H22</f>
        <v>0</v>
      </c>
      <c r="L22">
        <f>M22+N22</f>
        <v>0</v>
      </c>
      <c r="M22">
        <f>K22/H22</f>
        <v>0</v>
      </c>
      <c r="N22">
        <f>J22/I22</f>
        <v>0</v>
      </c>
    </row>
    <row r="27" spans="1:18" x14ac:dyDescent="0.25">
      <c r="E27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F1" zoomScale="90" zoomScaleNormal="90" workbookViewId="0">
      <selection activeCell="Q1" sqref="Q1:R104857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42578125" bestFit="1" customWidth="1"/>
    <col min="17" max="17" width="24.7109375" bestFit="1" customWidth="1"/>
    <col min="18" max="18" width="24.7109375" customWidth="1"/>
    <col min="19" max="19" width="22.140625" bestFit="1" customWidth="1"/>
  </cols>
  <sheetData>
    <row r="1" spans="1:1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142</v>
      </c>
      <c r="P1" t="s">
        <v>143</v>
      </c>
      <c r="Q1" t="s">
        <v>145</v>
      </c>
      <c r="R1" t="s">
        <v>146</v>
      </c>
    </row>
    <row r="2" spans="1:19" x14ac:dyDescent="0.25">
      <c r="A2" t="s">
        <v>37</v>
      </c>
      <c r="B2" s="1">
        <v>43319.614583333336</v>
      </c>
      <c r="C2" s="1">
        <v>43321.232638888891</v>
      </c>
      <c r="D2" s="3">
        <v>12.65</v>
      </c>
      <c r="E2">
        <f t="shared" ref="E2:E22" si="0">D2-$D$22</f>
        <v>4.8800000000000008</v>
      </c>
      <c r="F2" s="2">
        <f>(C2-B2)*24</f>
        <v>38.833333333313931</v>
      </c>
      <c r="G2">
        <f>1-EXP(-$S$3*F2)</f>
        <v>0.35492657542372197</v>
      </c>
      <c r="H2">
        <v>1</v>
      </c>
      <c r="I2">
        <v>1</v>
      </c>
      <c r="J2">
        <f>E2/((1+G2)*(H2/I2))</f>
        <v>3.6016711816829585</v>
      </c>
      <c r="K2">
        <f>N2*G2*H2</f>
        <v>1.2783288183170425</v>
      </c>
      <c r="L2">
        <f>M2+N2</f>
        <v>4.8800000000000008</v>
      </c>
      <c r="M2">
        <f>K2/H2</f>
        <v>1.2783288183170425</v>
      </c>
      <c r="N2">
        <f>J2/I2</f>
        <v>3.6016711816829585</v>
      </c>
      <c r="O2">
        <v>0.87549999999999972</v>
      </c>
      <c r="P2">
        <f>N2/O2</f>
        <v>4.1138448677132606</v>
      </c>
      <c r="Q2">
        <f>SUM($P$2:P2)</f>
        <v>4.1138448677132606</v>
      </c>
      <c r="R2">
        <f>Q2/2</f>
        <v>2.0569224338566303</v>
      </c>
      <c r="S2" t="s">
        <v>2</v>
      </c>
    </row>
    <row r="3" spans="1:19" x14ac:dyDescent="0.25">
      <c r="A3" t="s">
        <v>38</v>
      </c>
      <c r="B3" s="1">
        <v>43319.614583333336</v>
      </c>
      <c r="C3" s="1">
        <v>43321.255555555559</v>
      </c>
      <c r="D3" s="3">
        <v>13.71</v>
      </c>
      <c r="E3">
        <f t="shared" si="0"/>
        <v>5.9400000000000013</v>
      </c>
      <c r="F3" s="2">
        <f t="shared" ref="F3:F21" si="1">(C3-B3)*24</f>
        <v>39.383333333360497</v>
      </c>
      <c r="G3">
        <f t="shared" ref="G3:G21" si="2">1-EXP(-$S$3*F3)</f>
        <v>0.35891941044487508</v>
      </c>
      <c r="H3">
        <v>1</v>
      </c>
      <c r="I3">
        <v>1</v>
      </c>
      <c r="J3">
        <f t="shared" ref="J3:J21" si="3">E3/((1+G3)*(H3/I3))</f>
        <v>4.3711201373269066</v>
      </c>
      <c r="K3">
        <f t="shared" ref="K3:K21" si="4">N3*G3*H3</f>
        <v>1.5688798626730946</v>
      </c>
      <c r="L3">
        <f t="shared" ref="L3:L21" si="5">M3+N3</f>
        <v>5.9400000000000013</v>
      </c>
      <c r="M3">
        <f t="shared" ref="M3:M21" si="6">K3/H3</f>
        <v>1.5688798626730946</v>
      </c>
      <c r="N3">
        <f t="shared" ref="N3:N21" si="7">J3/I3</f>
        <v>4.3711201373269066</v>
      </c>
      <c r="O3">
        <v>1.0347</v>
      </c>
      <c r="P3">
        <f t="shared" ref="P3:P21" si="8">N3/O3</f>
        <v>4.2245289816631937</v>
      </c>
      <c r="Q3">
        <f>SUM($P$2:P3)</f>
        <v>8.3383738493764543</v>
      </c>
      <c r="R3">
        <f t="shared" ref="R3:R21" si="9">Q3/2</f>
        <v>4.1691869246882272</v>
      </c>
      <c r="S3">
        <f>LN(2)/61.4</f>
        <v>1.1289042028663604E-2</v>
      </c>
    </row>
    <row r="4" spans="1:19" x14ac:dyDescent="0.25">
      <c r="A4" t="s">
        <v>39</v>
      </c>
      <c r="B4" s="1">
        <v>43319.614583333336</v>
      </c>
      <c r="C4" s="1">
        <v>43321.27847222222</v>
      </c>
      <c r="D4" s="3">
        <v>15.42</v>
      </c>
      <c r="E4">
        <f t="shared" si="0"/>
        <v>7.65</v>
      </c>
      <c r="F4" s="2">
        <f t="shared" si="1"/>
        <v>39.93333333323244</v>
      </c>
      <c r="G4">
        <f t="shared" si="2"/>
        <v>0.36288753086500924</v>
      </c>
      <c r="H4">
        <v>1</v>
      </c>
      <c r="I4">
        <v>1</v>
      </c>
      <c r="J4">
        <f t="shared" si="3"/>
        <v>5.6130823906978096</v>
      </c>
      <c r="K4">
        <f t="shared" si="4"/>
        <v>2.0369176093021912</v>
      </c>
      <c r="L4">
        <f t="shared" si="5"/>
        <v>7.65</v>
      </c>
      <c r="M4">
        <f t="shared" si="6"/>
        <v>2.0369176093021912</v>
      </c>
      <c r="N4">
        <f t="shared" si="7"/>
        <v>5.6130823906978096</v>
      </c>
      <c r="O4">
        <v>1.0351999999999997</v>
      </c>
      <c r="P4">
        <f t="shared" si="8"/>
        <v>5.4222202383093228</v>
      </c>
      <c r="Q4">
        <f>SUM($P$2:P4)</f>
        <v>13.760594087685778</v>
      </c>
      <c r="R4">
        <f t="shared" si="9"/>
        <v>6.880297043842889</v>
      </c>
    </row>
    <row r="5" spans="1:19" x14ac:dyDescent="0.25">
      <c r="A5" t="s">
        <v>40</v>
      </c>
      <c r="B5" s="1">
        <v>43319.614583333336</v>
      </c>
      <c r="C5" s="1">
        <v>43321.301388888889</v>
      </c>
      <c r="D5" s="3">
        <v>22.24</v>
      </c>
      <c r="E5">
        <f t="shared" si="0"/>
        <v>14.469999999999999</v>
      </c>
      <c r="F5" s="2">
        <f t="shared" si="1"/>
        <v>40.483333333279006</v>
      </c>
      <c r="G5">
        <f t="shared" si="2"/>
        <v>0.36683108966352351</v>
      </c>
      <c r="H5">
        <v>1</v>
      </c>
      <c r="I5">
        <v>1</v>
      </c>
      <c r="J5">
        <f t="shared" si="3"/>
        <v>10.58653121766649</v>
      </c>
      <c r="K5">
        <f t="shared" si="4"/>
        <v>3.883468782333507</v>
      </c>
      <c r="L5">
        <f t="shared" si="5"/>
        <v>14.469999999999997</v>
      </c>
      <c r="M5">
        <f t="shared" si="6"/>
        <v>3.883468782333507</v>
      </c>
      <c r="N5">
        <f t="shared" si="7"/>
        <v>10.58653121766649</v>
      </c>
      <c r="O5">
        <v>0.84750000000000014</v>
      </c>
      <c r="P5">
        <f t="shared" si="8"/>
        <v>12.491482262733319</v>
      </c>
      <c r="Q5">
        <f>SUM($P$2:P5)</f>
        <v>26.252076350419095</v>
      </c>
      <c r="R5">
        <f t="shared" si="9"/>
        <v>13.126038175209548</v>
      </c>
    </row>
    <row r="6" spans="1:19" x14ac:dyDescent="0.25">
      <c r="A6" t="s">
        <v>41</v>
      </c>
      <c r="B6" s="1">
        <v>43319.614583333336</v>
      </c>
      <c r="C6" s="1">
        <v>43321.324305555558</v>
      </c>
      <c r="D6" s="3">
        <v>116.83</v>
      </c>
      <c r="E6">
        <f t="shared" si="0"/>
        <v>109.06</v>
      </c>
      <c r="F6" s="2">
        <f t="shared" si="1"/>
        <v>41.033333333325572</v>
      </c>
      <c r="G6">
        <f t="shared" si="2"/>
        <v>0.37075023886914682</v>
      </c>
      <c r="H6">
        <v>1</v>
      </c>
      <c r="I6">
        <v>1</v>
      </c>
      <c r="J6">
        <f t="shared" si="3"/>
        <v>79.562269556832788</v>
      </c>
      <c r="K6">
        <f t="shared" si="4"/>
        <v>29.497730443167203</v>
      </c>
      <c r="L6">
        <f t="shared" si="5"/>
        <v>109.05999999999999</v>
      </c>
      <c r="M6">
        <f t="shared" si="6"/>
        <v>29.497730443167203</v>
      </c>
      <c r="N6">
        <f t="shared" si="7"/>
        <v>79.562269556832788</v>
      </c>
      <c r="O6">
        <v>0.85160000000000036</v>
      </c>
      <c r="P6">
        <f t="shared" si="8"/>
        <v>93.42680784033908</v>
      </c>
      <c r="Q6">
        <f>SUM($P$2:P6)</f>
        <v>119.67888419075817</v>
      </c>
      <c r="R6">
        <f t="shared" si="9"/>
        <v>59.839442095379084</v>
      </c>
    </row>
    <row r="7" spans="1:19" x14ac:dyDescent="0.25">
      <c r="A7" t="s">
        <v>42</v>
      </c>
      <c r="B7" s="1">
        <v>43319.614583333336</v>
      </c>
      <c r="C7" s="1">
        <v>43321.347222222219</v>
      </c>
      <c r="D7" s="3">
        <v>240.83</v>
      </c>
      <c r="E7">
        <f t="shared" si="0"/>
        <v>233.06</v>
      </c>
      <c r="F7" s="2">
        <f t="shared" si="1"/>
        <v>41.583333333197515</v>
      </c>
      <c r="G7">
        <f t="shared" si="2"/>
        <v>0.37464512956961338</v>
      </c>
      <c r="H7">
        <v>1</v>
      </c>
      <c r="I7">
        <v>1</v>
      </c>
      <c r="J7">
        <f t="shared" si="3"/>
        <v>169.54193848776708</v>
      </c>
      <c r="K7">
        <f t="shared" si="4"/>
        <v>63.518061512232919</v>
      </c>
      <c r="L7">
        <f t="shared" si="5"/>
        <v>233.06</v>
      </c>
      <c r="M7">
        <f t="shared" si="6"/>
        <v>63.518061512232919</v>
      </c>
      <c r="N7">
        <f t="shared" si="7"/>
        <v>169.54193848776708</v>
      </c>
      <c r="O7">
        <v>0.81799999999999962</v>
      </c>
      <c r="P7">
        <f t="shared" si="8"/>
        <v>207.26398348137795</v>
      </c>
      <c r="Q7">
        <f>SUM($P$2:P7)</f>
        <v>326.94286767213612</v>
      </c>
      <c r="R7">
        <f t="shared" si="9"/>
        <v>163.47143383606806</v>
      </c>
    </row>
    <row r="8" spans="1:19" x14ac:dyDescent="0.25">
      <c r="A8" t="s">
        <v>43</v>
      </c>
      <c r="B8" s="1">
        <v>43319.614583333336</v>
      </c>
      <c r="C8" s="1">
        <v>43321.370138888888</v>
      </c>
      <c r="D8" s="3">
        <v>268.43</v>
      </c>
      <c r="E8">
        <f t="shared" si="0"/>
        <v>260.66000000000003</v>
      </c>
      <c r="F8" s="2">
        <f t="shared" si="1"/>
        <v>42.133333333244082</v>
      </c>
      <c r="G8">
        <f t="shared" si="2"/>
        <v>0.3785159119211623</v>
      </c>
      <c r="H8">
        <v>1</v>
      </c>
      <c r="I8">
        <v>1</v>
      </c>
      <c r="J8">
        <f t="shared" si="3"/>
        <v>189.08740751257085</v>
      </c>
      <c r="K8">
        <f t="shared" si="4"/>
        <v>71.572592487429191</v>
      </c>
      <c r="L8">
        <f t="shared" si="5"/>
        <v>260.66000000000003</v>
      </c>
      <c r="M8">
        <f t="shared" si="6"/>
        <v>71.572592487429191</v>
      </c>
      <c r="N8">
        <f t="shared" si="7"/>
        <v>189.08740751257085</v>
      </c>
      <c r="O8">
        <v>0.81990000000000052</v>
      </c>
      <c r="P8">
        <f t="shared" si="8"/>
        <v>230.62252410363547</v>
      </c>
      <c r="Q8">
        <f>SUM($P$2:P8)</f>
        <v>557.56539177577156</v>
      </c>
      <c r="R8">
        <f t="shared" si="9"/>
        <v>278.78269588788578</v>
      </c>
    </row>
    <row r="9" spans="1:19" x14ac:dyDescent="0.25">
      <c r="A9" t="s">
        <v>44</v>
      </c>
      <c r="B9" s="1">
        <v>43319.614583333336</v>
      </c>
      <c r="C9" s="1">
        <v>43321.393055555556</v>
      </c>
      <c r="D9" s="3">
        <v>236.77</v>
      </c>
      <c r="E9">
        <f t="shared" si="0"/>
        <v>229</v>
      </c>
      <c r="F9" s="2">
        <f t="shared" si="1"/>
        <v>42.683333333290648</v>
      </c>
      <c r="G9">
        <f t="shared" si="2"/>
        <v>0.38236273514690688</v>
      </c>
      <c r="H9">
        <v>1</v>
      </c>
      <c r="I9">
        <v>1</v>
      </c>
      <c r="J9">
        <f t="shared" si="3"/>
        <v>165.6584007783338</v>
      </c>
      <c r="K9">
        <f t="shared" si="4"/>
        <v>63.3415992216662</v>
      </c>
      <c r="L9">
        <f t="shared" si="5"/>
        <v>229</v>
      </c>
      <c r="M9">
        <f t="shared" si="6"/>
        <v>63.3415992216662</v>
      </c>
      <c r="N9">
        <f t="shared" si="7"/>
        <v>165.6584007783338</v>
      </c>
      <c r="O9">
        <v>0.80330000000000013</v>
      </c>
      <c r="P9">
        <f t="shared" si="8"/>
        <v>206.22233384580329</v>
      </c>
      <c r="Q9">
        <f>SUM($P$2:P9)</f>
        <v>763.78772562157485</v>
      </c>
      <c r="R9">
        <f t="shared" si="9"/>
        <v>381.89386281078743</v>
      </c>
    </row>
    <row r="10" spans="1:19" x14ac:dyDescent="0.25">
      <c r="A10" t="s">
        <v>45</v>
      </c>
      <c r="B10" s="1">
        <v>43319.614583333336</v>
      </c>
      <c r="C10" s="1">
        <v>43321.414583333331</v>
      </c>
      <c r="D10" s="3">
        <v>206.29</v>
      </c>
      <c r="E10">
        <f t="shared" si="0"/>
        <v>198.51999999999998</v>
      </c>
      <c r="F10" s="2">
        <f t="shared" si="1"/>
        <v>43.199999999895226</v>
      </c>
      <c r="G10">
        <f t="shared" si="2"/>
        <v>0.38595472491932048</v>
      </c>
      <c r="H10">
        <v>1</v>
      </c>
      <c r="I10">
        <v>1</v>
      </c>
      <c r="J10">
        <f t="shared" si="3"/>
        <v>143.23700221272111</v>
      </c>
      <c r="K10">
        <f t="shared" si="4"/>
        <v>55.282997787278873</v>
      </c>
      <c r="L10">
        <f t="shared" si="5"/>
        <v>198.51999999999998</v>
      </c>
      <c r="M10">
        <f t="shared" si="6"/>
        <v>55.282997787278873</v>
      </c>
      <c r="N10">
        <f t="shared" si="7"/>
        <v>143.23700221272111</v>
      </c>
      <c r="O10">
        <v>0.84970000000000034</v>
      </c>
      <c r="P10">
        <f t="shared" si="8"/>
        <v>168.57361682090274</v>
      </c>
      <c r="Q10">
        <f>SUM($P$2:P10)</f>
        <v>932.36134244247762</v>
      </c>
      <c r="R10">
        <f t="shared" si="9"/>
        <v>466.18067122123881</v>
      </c>
    </row>
    <row r="11" spans="1:19" x14ac:dyDescent="0.25">
      <c r="A11" t="s">
        <v>46</v>
      </c>
      <c r="B11" s="1">
        <v>43319.614583333336</v>
      </c>
      <c r="C11" s="1">
        <v>43321.4375</v>
      </c>
      <c r="D11" s="3">
        <v>150.06</v>
      </c>
      <c r="E11">
        <f t="shared" si="0"/>
        <v>142.29</v>
      </c>
      <c r="F11" s="2">
        <f t="shared" si="1"/>
        <v>43.749999999941792</v>
      </c>
      <c r="G11">
        <f t="shared" si="2"/>
        <v>0.38975550384696911</v>
      </c>
      <c r="H11">
        <v>1</v>
      </c>
      <c r="I11">
        <v>1</v>
      </c>
      <c r="J11">
        <f t="shared" si="3"/>
        <v>102.3849156244594</v>
      </c>
      <c r="K11">
        <f t="shared" si="4"/>
        <v>39.905084375540589</v>
      </c>
      <c r="L11">
        <f t="shared" si="5"/>
        <v>142.29</v>
      </c>
      <c r="M11">
        <f t="shared" si="6"/>
        <v>39.905084375540589</v>
      </c>
      <c r="N11">
        <f t="shared" si="7"/>
        <v>102.3849156244594</v>
      </c>
      <c r="O11">
        <v>0.80569999999999986</v>
      </c>
      <c r="P11">
        <f t="shared" si="8"/>
        <v>127.0757299546474</v>
      </c>
      <c r="Q11">
        <f>SUM($P$2:P11)</f>
        <v>1059.4370723971251</v>
      </c>
      <c r="R11">
        <f t="shared" si="9"/>
        <v>529.71853619856256</v>
      </c>
    </row>
    <row r="12" spans="1:19" x14ac:dyDescent="0.25">
      <c r="A12" t="s">
        <v>47</v>
      </c>
      <c r="B12" s="1">
        <v>43319.614583333336</v>
      </c>
      <c r="C12" s="1">
        <v>43321.460416724534</v>
      </c>
      <c r="D12" s="3">
        <v>114.54</v>
      </c>
      <c r="E12">
        <f t="shared" si="0"/>
        <v>106.77000000000001</v>
      </c>
      <c r="F12" s="2">
        <f t="shared" si="1"/>
        <v>44.30000138876494</v>
      </c>
      <c r="G12">
        <f t="shared" si="2"/>
        <v>0.39353276645978308</v>
      </c>
      <c r="H12">
        <v>1</v>
      </c>
      <c r="I12">
        <v>1</v>
      </c>
      <c r="J12">
        <f t="shared" si="3"/>
        <v>76.618219944153253</v>
      </c>
      <c r="K12">
        <f t="shared" si="4"/>
        <v>30.151780055846757</v>
      </c>
      <c r="L12">
        <f t="shared" si="5"/>
        <v>106.77000000000001</v>
      </c>
      <c r="M12">
        <f t="shared" si="6"/>
        <v>30.151780055846757</v>
      </c>
      <c r="N12">
        <f t="shared" si="7"/>
        <v>76.618219944153253</v>
      </c>
      <c r="O12">
        <v>0.77840000000000042</v>
      </c>
      <c r="P12">
        <f t="shared" si="8"/>
        <v>98.430395611707624</v>
      </c>
      <c r="Q12">
        <f>SUM($P$2:P12)</f>
        <v>1157.8674680088327</v>
      </c>
      <c r="R12">
        <f t="shared" si="9"/>
        <v>578.93373400441635</v>
      </c>
    </row>
    <row r="13" spans="1:19" x14ac:dyDescent="0.25">
      <c r="A13" t="s">
        <v>48</v>
      </c>
      <c r="B13" s="1">
        <v>43319.614583333336</v>
      </c>
      <c r="C13" s="1">
        <v>43321.483333449076</v>
      </c>
      <c r="D13" s="3">
        <v>90.55</v>
      </c>
      <c r="E13">
        <f t="shared" si="0"/>
        <v>82.78</v>
      </c>
      <c r="F13" s="2">
        <f t="shared" si="1"/>
        <v>44.850002777762711</v>
      </c>
      <c r="G13">
        <f t="shared" si="2"/>
        <v>0.39728664875174047</v>
      </c>
      <c r="H13">
        <v>1</v>
      </c>
      <c r="I13">
        <v>1</v>
      </c>
      <c r="J13">
        <f t="shared" si="3"/>
        <v>59.24339152166889</v>
      </c>
      <c r="K13">
        <f t="shared" si="4"/>
        <v>23.536608478331107</v>
      </c>
      <c r="L13">
        <f t="shared" si="5"/>
        <v>82.78</v>
      </c>
      <c r="M13">
        <f t="shared" si="6"/>
        <v>23.536608478331107</v>
      </c>
      <c r="N13">
        <f t="shared" si="7"/>
        <v>59.24339152166889</v>
      </c>
      <c r="O13">
        <v>0.82679999999999954</v>
      </c>
      <c r="P13">
        <f t="shared" si="8"/>
        <v>71.653835899454435</v>
      </c>
      <c r="Q13">
        <f>SUM($P$2:P13)</f>
        <v>1229.5213039082871</v>
      </c>
      <c r="R13">
        <f t="shared" si="9"/>
        <v>614.76065195414355</v>
      </c>
    </row>
    <row r="14" spans="1:19" x14ac:dyDescent="0.25">
      <c r="A14" t="s">
        <v>49</v>
      </c>
      <c r="B14" s="1">
        <v>43319.614583333336</v>
      </c>
      <c r="C14" s="1">
        <v>43321.50625017361</v>
      </c>
      <c r="D14" s="3">
        <v>63.29</v>
      </c>
      <c r="E14">
        <f t="shared" si="0"/>
        <v>55.519999999999996</v>
      </c>
      <c r="F14" s="2">
        <f t="shared" si="1"/>
        <v>45.400004166585859</v>
      </c>
      <c r="G14">
        <f t="shared" si="2"/>
        <v>0.40101729543887255</v>
      </c>
      <c r="H14">
        <v>1</v>
      </c>
      <c r="I14">
        <v>1</v>
      </c>
      <c r="J14">
        <f t="shared" si="3"/>
        <v>39.628347330721716</v>
      </c>
      <c r="K14">
        <f t="shared" si="4"/>
        <v>15.891652669278287</v>
      </c>
      <c r="L14">
        <f t="shared" si="5"/>
        <v>55.52</v>
      </c>
      <c r="M14">
        <f t="shared" si="6"/>
        <v>15.891652669278287</v>
      </c>
      <c r="N14">
        <f t="shared" si="7"/>
        <v>39.628347330721716</v>
      </c>
      <c r="O14">
        <v>0.79679999999999929</v>
      </c>
      <c r="P14">
        <f t="shared" si="8"/>
        <v>49.734371650002196</v>
      </c>
      <c r="Q14">
        <f>SUM($P$2:P14)</f>
        <v>1279.2556755582893</v>
      </c>
      <c r="R14">
        <f t="shared" si="9"/>
        <v>639.62783777914467</v>
      </c>
    </row>
    <row r="15" spans="1:19" x14ac:dyDescent="0.25">
      <c r="A15" t="s">
        <v>50</v>
      </c>
      <c r="B15" s="1">
        <v>43319.614583333336</v>
      </c>
      <c r="C15" s="1">
        <v>43321.529166898152</v>
      </c>
      <c r="D15" s="3">
        <v>51.21</v>
      </c>
      <c r="E15">
        <f t="shared" si="0"/>
        <v>43.44</v>
      </c>
      <c r="F15" s="2">
        <f t="shared" si="1"/>
        <v>45.95000555558363</v>
      </c>
      <c r="G15">
        <f t="shared" si="2"/>
        <v>0.40472485034619221</v>
      </c>
      <c r="H15">
        <v>1</v>
      </c>
      <c r="I15">
        <v>1</v>
      </c>
      <c r="J15">
        <f t="shared" si="3"/>
        <v>30.924205540532924</v>
      </c>
      <c r="K15">
        <f t="shared" si="4"/>
        <v>12.515794459467076</v>
      </c>
      <c r="L15">
        <f t="shared" si="5"/>
        <v>43.44</v>
      </c>
      <c r="M15">
        <f t="shared" si="6"/>
        <v>12.515794459467076</v>
      </c>
      <c r="N15">
        <f t="shared" si="7"/>
        <v>30.924205540532924</v>
      </c>
      <c r="O15">
        <v>0.8219000000000003</v>
      </c>
      <c r="P15">
        <f t="shared" si="8"/>
        <v>37.625265288396292</v>
      </c>
      <c r="Q15">
        <f>SUM($P$2:P15)</f>
        <v>1316.8809408466857</v>
      </c>
      <c r="R15">
        <f t="shared" si="9"/>
        <v>658.44047042334284</v>
      </c>
    </row>
    <row r="16" spans="1:19" x14ac:dyDescent="0.25">
      <c r="A16" t="s">
        <v>51</v>
      </c>
      <c r="B16" s="1">
        <v>43319.614583333336</v>
      </c>
      <c r="C16" s="1">
        <v>43321.552083622686</v>
      </c>
      <c r="D16" s="3">
        <v>35.17</v>
      </c>
      <c r="E16">
        <f t="shared" si="0"/>
        <v>27.400000000000002</v>
      </c>
      <c r="F16" s="2">
        <f t="shared" si="1"/>
        <v>46.500006944406778</v>
      </c>
      <c r="G16">
        <f t="shared" si="2"/>
        <v>0.40840945640376292</v>
      </c>
      <c r="H16">
        <v>1</v>
      </c>
      <c r="I16">
        <v>1</v>
      </c>
      <c r="J16">
        <f t="shared" si="3"/>
        <v>19.454569745621594</v>
      </c>
      <c r="K16">
        <f t="shared" si="4"/>
        <v>7.9454302543784072</v>
      </c>
      <c r="L16">
        <f t="shared" si="5"/>
        <v>27.400000000000002</v>
      </c>
      <c r="M16">
        <f t="shared" si="6"/>
        <v>7.9454302543784072</v>
      </c>
      <c r="N16">
        <f t="shared" si="7"/>
        <v>19.454569745621594</v>
      </c>
      <c r="O16">
        <v>0.82459999999999933</v>
      </c>
      <c r="P16">
        <f t="shared" si="8"/>
        <v>23.592735563450898</v>
      </c>
      <c r="Q16">
        <f>SUM($P$2:P16)</f>
        <v>1340.4736764101365</v>
      </c>
      <c r="R16">
        <f t="shared" si="9"/>
        <v>670.23683820506824</v>
      </c>
    </row>
    <row r="17" spans="1:18" x14ac:dyDescent="0.25">
      <c r="A17" t="s">
        <v>52</v>
      </c>
      <c r="B17" s="1">
        <v>43319.614583333336</v>
      </c>
      <c r="C17" s="1">
        <v>43321.57500034722</v>
      </c>
      <c r="D17" s="3">
        <v>28.04</v>
      </c>
      <c r="E17">
        <f t="shared" si="0"/>
        <v>20.27</v>
      </c>
      <c r="F17" s="2">
        <f>(C17-B17)*24</f>
        <v>47.050008333229925</v>
      </c>
      <c r="G17">
        <f>1-EXP(-$S$3*F17)</f>
        <v>0.41207125566046598</v>
      </c>
      <c r="H17">
        <v>1</v>
      </c>
      <c r="I17">
        <v>1</v>
      </c>
      <c r="J17">
        <f>E17/((1+G17)*(H17/I17))</f>
        <v>14.354799673702828</v>
      </c>
      <c r="K17">
        <f>N17*G17*H17</f>
        <v>5.915200326297172</v>
      </c>
      <c r="L17">
        <f>M17+N17</f>
        <v>20.27</v>
      </c>
      <c r="M17">
        <f>K17/H17</f>
        <v>5.915200326297172</v>
      </c>
      <c r="N17">
        <f>J17/I17</f>
        <v>14.354799673702828</v>
      </c>
      <c r="O17">
        <v>0.77640000000000065</v>
      </c>
      <c r="P17">
        <f t="shared" si="8"/>
        <v>18.48892281517622</v>
      </c>
      <c r="Q17">
        <f>SUM($P$2:P17)</f>
        <v>1358.9625992253127</v>
      </c>
      <c r="R17">
        <f t="shared" si="9"/>
        <v>679.48129961265636</v>
      </c>
    </row>
    <row r="18" spans="1:18" x14ac:dyDescent="0.25">
      <c r="A18" t="s">
        <v>53</v>
      </c>
      <c r="B18" s="1">
        <v>43319.614583333336</v>
      </c>
      <c r="C18" s="1">
        <v>43321.597917071762</v>
      </c>
      <c r="D18" s="3">
        <v>21.15</v>
      </c>
      <c r="E18">
        <f t="shared" si="0"/>
        <v>13.379999999999999</v>
      </c>
      <c r="F18" s="2">
        <f t="shared" si="1"/>
        <v>47.600009722227696</v>
      </c>
      <c r="G18">
        <f t="shared" si="2"/>
        <v>0.41571038928591442</v>
      </c>
      <c r="H18">
        <v>1</v>
      </c>
      <c r="I18">
        <v>1</v>
      </c>
      <c r="J18">
        <f t="shared" si="3"/>
        <v>9.4510855477643858</v>
      </c>
      <c r="K18">
        <f t="shared" si="4"/>
        <v>3.9289144522356123</v>
      </c>
      <c r="L18">
        <f t="shared" si="5"/>
        <v>13.379999999999999</v>
      </c>
      <c r="M18">
        <f t="shared" si="6"/>
        <v>3.9289144522356123</v>
      </c>
      <c r="N18">
        <f t="shared" si="7"/>
        <v>9.4510855477643858</v>
      </c>
      <c r="O18">
        <v>0.81519999999999992</v>
      </c>
      <c r="P18">
        <f t="shared" si="8"/>
        <v>11.593578934941593</v>
      </c>
      <c r="Q18">
        <f>SUM($P$2:P18)</f>
        <v>1370.5561781602544</v>
      </c>
      <c r="R18">
        <f t="shared" si="9"/>
        <v>685.27808908012719</v>
      </c>
    </row>
    <row r="19" spans="1:18" x14ac:dyDescent="0.25">
      <c r="A19" t="s">
        <v>54</v>
      </c>
      <c r="B19" s="1">
        <v>43319.614583333336</v>
      </c>
      <c r="C19" s="1">
        <v>43321.620833796296</v>
      </c>
      <c r="D19" s="3">
        <v>19</v>
      </c>
      <c r="E19">
        <f t="shared" si="0"/>
        <v>11.23</v>
      </c>
      <c r="F19" s="2">
        <f t="shared" si="1"/>
        <v>48.150011111050844</v>
      </c>
      <c r="G19">
        <f t="shared" si="2"/>
        <v>0.41932699757246006</v>
      </c>
      <c r="H19">
        <v>1</v>
      </c>
      <c r="I19">
        <v>1</v>
      </c>
      <c r="J19">
        <f t="shared" si="3"/>
        <v>7.9122006551042734</v>
      </c>
      <c r="K19">
        <f t="shared" si="4"/>
        <v>3.3177993448957266</v>
      </c>
      <c r="L19">
        <f t="shared" si="5"/>
        <v>11.23</v>
      </c>
      <c r="M19">
        <f t="shared" si="6"/>
        <v>3.3177993448957266</v>
      </c>
      <c r="N19">
        <f t="shared" si="7"/>
        <v>7.9122006551042734</v>
      </c>
      <c r="O19">
        <v>0.83400000000000052</v>
      </c>
      <c r="P19">
        <f t="shared" si="8"/>
        <v>9.4870511452089552</v>
      </c>
      <c r="Q19">
        <f>SUM($P$2:P19)</f>
        <v>1380.0432293054632</v>
      </c>
      <c r="R19">
        <f t="shared" si="9"/>
        <v>690.02161465273161</v>
      </c>
    </row>
    <row r="20" spans="1:18" x14ac:dyDescent="0.25">
      <c r="A20" t="s">
        <v>55</v>
      </c>
      <c r="B20" s="1">
        <v>43319.614583333336</v>
      </c>
      <c r="C20" s="1">
        <v>43321.643750520831</v>
      </c>
      <c r="D20" s="3">
        <v>16.510000000000002</v>
      </c>
      <c r="E20">
        <f t="shared" si="0"/>
        <v>8.740000000000002</v>
      </c>
      <c r="F20" s="2">
        <f t="shared" si="1"/>
        <v>48.700012499873992</v>
      </c>
      <c r="G20">
        <f t="shared" si="2"/>
        <v>0.42292121994753573</v>
      </c>
      <c r="H20">
        <v>1</v>
      </c>
      <c r="I20">
        <v>1</v>
      </c>
      <c r="J20">
        <f t="shared" si="3"/>
        <v>6.1422936684592084</v>
      </c>
      <c r="K20">
        <f t="shared" si="4"/>
        <v>2.5977063315407931</v>
      </c>
      <c r="L20">
        <f t="shared" si="5"/>
        <v>8.740000000000002</v>
      </c>
      <c r="M20">
        <f t="shared" si="6"/>
        <v>2.5977063315407931</v>
      </c>
      <c r="N20">
        <f t="shared" si="7"/>
        <v>6.1422936684592084</v>
      </c>
      <c r="O20">
        <v>0.78469999999999995</v>
      </c>
      <c r="P20">
        <f t="shared" si="8"/>
        <v>7.8275693493809211</v>
      </c>
      <c r="Q20">
        <f>SUM($P$2:P20)</f>
        <v>1387.8707986548441</v>
      </c>
      <c r="R20">
        <f t="shared" si="9"/>
        <v>693.93539932742203</v>
      </c>
    </row>
    <row r="21" spans="1:18" x14ac:dyDescent="0.25">
      <c r="A21" t="s">
        <v>56</v>
      </c>
      <c r="B21" s="1">
        <v>43319.614583333336</v>
      </c>
      <c r="C21" s="1">
        <v>43321.666667245372</v>
      </c>
      <c r="D21" s="3">
        <v>15.21</v>
      </c>
      <c r="E21">
        <f t="shared" si="0"/>
        <v>7.4400000000000013</v>
      </c>
      <c r="F21" s="2">
        <f t="shared" si="1"/>
        <v>49.250013888871763</v>
      </c>
      <c r="G21">
        <f t="shared" si="2"/>
        <v>0.4264931949755314</v>
      </c>
      <c r="H21">
        <v>1</v>
      </c>
      <c r="I21">
        <v>1</v>
      </c>
      <c r="J21">
        <f t="shared" si="3"/>
        <v>5.2155874463373229</v>
      </c>
      <c r="K21">
        <f t="shared" si="4"/>
        <v>2.2244125536626775</v>
      </c>
      <c r="L21">
        <f t="shared" si="5"/>
        <v>7.44</v>
      </c>
      <c r="M21">
        <f t="shared" si="6"/>
        <v>2.2244125536626775</v>
      </c>
      <c r="N21">
        <f t="shared" si="7"/>
        <v>5.2155874463373229</v>
      </c>
      <c r="O21">
        <v>0.95830000000000037</v>
      </c>
      <c r="P21">
        <f t="shared" si="8"/>
        <v>5.4425414237058547</v>
      </c>
      <c r="Q21">
        <f>SUM($P$2:P21)</f>
        <v>1393.31334007855</v>
      </c>
      <c r="R21">
        <f t="shared" si="9"/>
        <v>696.65667003927501</v>
      </c>
    </row>
    <row r="22" spans="1:18" x14ac:dyDescent="0.25">
      <c r="A22" t="s">
        <v>15</v>
      </c>
      <c r="B22" s="1">
        <v>43319.614583333336</v>
      </c>
      <c r="C22" s="1">
        <v>43321.689583969906</v>
      </c>
      <c r="D22" s="3">
        <v>7.77</v>
      </c>
      <c r="E22">
        <f t="shared" si="0"/>
        <v>0</v>
      </c>
      <c r="F22" s="2">
        <f>(C22-B22)*24</f>
        <v>49.800015277694911</v>
      </c>
      <c r="G22">
        <f>1-EXP(-$S$3*F22)</f>
        <v>0.43004306035976592</v>
      </c>
      <c r="H22">
        <v>1</v>
      </c>
      <c r="I22">
        <v>1</v>
      </c>
      <c r="J22">
        <f>E22/((1+G22)*(H22/I22))</f>
        <v>0</v>
      </c>
      <c r="K22">
        <f>N22*G22*H22</f>
        <v>0</v>
      </c>
      <c r="L22">
        <f>M22+N22</f>
        <v>0</v>
      </c>
      <c r="M22">
        <f>K22/H22</f>
        <v>0</v>
      </c>
      <c r="N22">
        <f>J22/I22</f>
        <v>0</v>
      </c>
    </row>
    <row r="27" spans="1:18" x14ac:dyDescent="0.25">
      <c r="E27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60" zoomScaleNormal="60" workbookViewId="0">
      <selection activeCell="D33" sqref="D33"/>
    </sheetView>
  </sheetViews>
  <sheetFormatPr defaultRowHeight="15" x14ac:dyDescent="0.25"/>
  <cols>
    <col min="1" max="1" width="15.42578125" bestFit="1" customWidth="1"/>
    <col min="2" max="3" width="17.5703125" bestFit="1" customWidth="1"/>
    <col min="4" max="4" width="20.5703125" bestFit="1" customWidth="1"/>
    <col min="5" max="5" width="23.28515625" bestFit="1" customWidth="1"/>
    <col min="6" max="6" width="21.140625" bestFit="1" customWidth="1"/>
    <col min="7" max="7" width="36.85546875" bestFit="1" customWidth="1"/>
    <col min="8" max="8" width="32.5703125" bestFit="1" customWidth="1"/>
    <col min="9" max="9" width="19.85546875" bestFit="1" customWidth="1"/>
    <col min="10" max="10" width="21.85546875" bestFit="1" customWidth="1"/>
    <col min="11" max="11" width="16.5703125" bestFit="1" customWidth="1"/>
    <col min="12" max="12" width="18.28515625" bestFit="1" customWidth="1"/>
    <col min="13" max="13" width="15.42578125" bestFit="1" customWidth="1"/>
    <col min="14" max="14" width="17.28515625" bestFit="1" customWidth="1"/>
    <col min="15" max="15" width="15.140625" bestFit="1" customWidth="1"/>
    <col min="16" max="16" width="16.5703125" bestFit="1" customWidth="1"/>
    <col min="17" max="17" width="12.7109375" bestFit="1" customWidth="1"/>
    <col min="18" max="18" width="17.5703125" bestFit="1" customWidth="1"/>
    <col min="19" max="19" width="22.7109375" bestFit="1" customWidth="1"/>
    <col min="20" max="20" width="41.140625" bestFit="1" customWidth="1"/>
    <col min="21" max="21" width="42.7109375" bestFit="1" customWidth="1"/>
    <col min="22" max="22" width="28.7109375" bestFit="1" customWidth="1"/>
    <col min="23" max="23" width="30.42578125" bestFit="1" customWidth="1"/>
    <col min="24" max="24" width="14.7109375" bestFit="1" customWidth="1"/>
    <col min="25" max="25" width="15.42578125" bestFit="1" customWidth="1"/>
    <col min="26" max="26" width="18.28515625" bestFit="1" customWidth="1"/>
    <col min="27" max="27" width="22.7109375" bestFit="1" customWidth="1"/>
    <col min="28" max="28" width="12.7109375" bestFit="1" customWidth="1"/>
    <col min="29" max="29" width="18.28515625" bestFit="1" customWidth="1"/>
    <col min="30" max="30" width="24.7109375" customWidth="1"/>
    <col min="31" max="31" width="22.140625" bestFit="1" customWidth="1"/>
  </cols>
  <sheetData>
    <row r="1" spans="1:31" ht="15.75" thickBot="1" x14ac:dyDescent="0.3">
      <c r="A1" s="29" t="s">
        <v>3</v>
      </c>
      <c r="B1" s="26" t="s">
        <v>5</v>
      </c>
      <c r="C1" s="9" t="s">
        <v>4</v>
      </c>
      <c r="D1" s="9" t="s">
        <v>0</v>
      </c>
      <c r="E1" s="4" t="s">
        <v>150</v>
      </c>
      <c r="F1" s="4" t="s">
        <v>151</v>
      </c>
      <c r="G1" s="9" t="s">
        <v>14</v>
      </c>
      <c r="H1" s="4" t="s">
        <v>152</v>
      </c>
      <c r="I1" s="9" t="s">
        <v>1</v>
      </c>
      <c r="J1" s="4" t="s">
        <v>153</v>
      </c>
      <c r="K1" s="9" t="s">
        <v>6</v>
      </c>
      <c r="L1" s="4" t="s">
        <v>154</v>
      </c>
      <c r="M1" s="9" t="s">
        <v>7</v>
      </c>
      <c r="N1" s="4" t="s">
        <v>155</v>
      </c>
      <c r="O1" s="9" t="s">
        <v>8</v>
      </c>
      <c r="P1" s="4" t="s">
        <v>156</v>
      </c>
      <c r="Q1" s="9" t="s">
        <v>9</v>
      </c>
      <c r="R1" s="9" t="s">
        <v>157</v>
      </c>
      <c r="S1" s="4" t="s">
        <v>158</v>
      </c>
      <c r="T1" s="9" t="s">
        <v>143</v>
      </c>
      <c r="U1" s="4" t="s">
        <v>159</v>
      </c>
      <c r="V1" s="9" t="s">
        <v>145</v>
      </c>
      <c r="W1" s="4" t="s">
        <v>160</v>
      </c>
      <c r="X1" s="9" t="s">
        <v>161</v>
      </c>
      <c r="Y1" s="4" t="s">
        <v>162</v>
      </c>
      <c r="Z1" s="4" t="s">
        <v>163</v>
      </c>
      <c r="AA1" s="9" t="s">
        <v>164</v>
      </c>
      <c r="AB1" s="9" t="s">
        <v>149</v>
      </c>
      <c r="AC1" s="10" t="s">
        <v>165</v>
      </c>
    </row>
    <row r="2" spans="1:31" x14ac:dyDescent="0.25">
      <c r="A2" s="30" t="s">
        <v>16</v>
      </c>
      <c r="B2" s="27">
        <v>43320.583333333336</v>
      </c>
      <c r="C2" s="22">
        <v>43322.569444444445</v>
      </c>
      <c r="D2" s="23">
        <v>10.09</v>
      </c>
      <c r="E2" s="5">
        <v>5.81</v>
      </c>
      <c r="F2" s="6">
        <f>D2*(E2/100)</f>
        <v>0.586229</v>
      </c>
      <c r="G2" s="21">
        <f t="shared" ref="G2:G22" si="0">D2-$D$22</f>
        <v>2.79</v>
      </c>
      <c r="H2" s="6">
        <f>SQRT((F2^2)+(F$17^2))</f>
        <v>0.89770261272316687</v>
      </c>
      <c r="I2" s="24">
        <f>(C2-B2)*24</f>
        <v>47.666666666627862</v>
      </c>
      <c r="J2" s="11">
        <f>1/60</f>
        <v>1.6666666666666666E-2</v>
      </c>
      <c r="K2" s="21">
        <f>1-EXP(-$AE$3*I2)</f>
        <v>0.41614989777103639</v>
      </c>
      <c r="L2" s="6">
        <f>K2*SQRT(((J2/I2)^2))</f>
        <v>1.4550695726271861E-4</v>
      </c>
      <c r="M2" s="21">
        <f>G2/((1+K2))</f>
        <v>1.9701304250286984</v>
      </c>
      <c r="N2" s="6">
        <f t="shared" ref="N2:N22" si="1">M2*SQRT(((H2/G2)^2)+((L2/K2)^2))</f>
        <v>0.63390404093685149</v>
      </c>
      <c r="O2" s="21">
        <f>M2*K2</f>
        <v>0.81986957497130131</v>
      </c>
      <c r="P2" s="6">
        <f t="shared" ref="P2:P22" si="2">O2*SQRT(((N2/M2)^2)+((L2/K2)^2))</f>
        <v>0.26379925759183592</v>
      </c>
      <c r="Q2" s="21">
        <f>M2+O2</f>
        <v>2.7899999999999996</v>
      </c>
      <c r="R2" s="21">
        <v>1.0227000000000004</v>
      </c>
      <c r="S2" s="6">
        <v>1.4142135623730951E-4</v>
      </c>
      <c r="T2" s="21">
        <f>M2/R2</f>
        <v>1.9264011196134718</v>
      </c>
      <c r="U2" s="6">
        <f>T2*SQRT(((S2/R2)^2)+((N2/M2)^2))</f>
        <v>0.61983387061618056</v>
      </c>
      <c r="V2" s="21">
        <f>SUM($T$2:T2)</f>
        <v>1.9264011196134718</v>
      </c>
      <c r="W2" s="6">
        <f>SQRT((U2^2))</f>
        <v>0.61983387061618056</v>
      </c>
      <c r="X2" s="21">
        <f>M2/60</f>
        <v>3.2835507083811638E-2</v>
      </c>
      <c r="Y2" s="6">
        <f>X2*SQRT(((N2/M2)^2))</f>
        <v>1.0565067348947525E-2</v>
      </c>
      <c r="Z2" s="6">
        <f>Y2^2</f>
        <v>1.1162064808779707E-4</v>
      </c>
      <c r="AA2" s="21">
        <f>(C2-$AE$6)*24</f>
        <v>241.66666666668607</v>
      </c>
      <c r="AB2" s="25">
        <f>EXP(-$AE$9*AA2)</f>
        <v>0.99933625471560894</v>
      </c>
      <c r="AC2" s="21">
        <f>X2/AB2</f>
        <v>3.2857315972346028E-2</v>
      </c>
      <c r="AE2" t="s">
        <v>2</v>
      </c>
    </row>
    <row r="3" spans="1:31" x14ac:dyDescent="0.25">
      <c r="A3" s="31" t="s">
        <v>17</v>
      </c>
      <c r="B3" s="28">
        <v>43320.583333333336</v>
      </c>
      <c r="C3" s="17">
        <v>43322.591666666667</v>
      </c>
      <c r="D3" s="18">
        <v>9.5500000000000007</v>
      </c>
      <c r="E3" s="7">
        <v>5.98</v>
      </c>
      <c r="F3" s="8">
        <f t="shared" ref="F3:F22" si="3">D3*(E3/100)</f>
        <v>0.5710900000000001</v>
      </c>
      <c r="G3" s="13">
        <f t="shared" si="0"/>
        <v>2.2500000000000009</v>
      </c>
      <c r="H3" s="8">
        <f>SQRT((F3^2)+(F$17^2))</f>
        <v>0.88789038093055173</v>
      </c>
      <c r="I3" s="19">
        <f t="shared" ref="I3:I21" si="4">(C3-B3)*24</f>
        <v>48.199999999953434</v>
      </c>
      <c r="J3" s="12">
        <f t="shared" ref="J3:J22" si="5">1/60</f>
        <v>1.6666666666666666E-2</v>
      </c>
      <c r="K3" s="13">
        <f>1-EXP(-$AE$3*I3)</f>
        <v>0.4196545943884904</v>
      </c>
      <c r="L3" s="8">
        <f t="shared" ref="L3:L22" si="6">K3*SQRT(((J3/I3)^2))</f>
        <v>1.4510878090902345E-4</v>
      </c>
      <c r="M3" s="13">
        <f>G3/((1+K3))</f>
        <v>1.5848925568892889</v>
      </c>
      <c r="N3" s="8">
        <f t="shared" si="1"/>
        <v>0.62542728724472074</v>
      </c>
      <c r="O3" s="13">
        <f>M3*K3</f>
        <v>0.66510744311071202</v>
      </c>
      <c r="P3" s="8">
        <f t="shared" si="2"/>
        <v>0.26246353530817562</v>
      </c>
      <c r="Q3" s="13">
        <f t="shared" ref="Q3:Q22" si="7">M3+O3</f>
        <v>2.2500000000000009</v>
      </c>
      <c r="R3" s="13">
        <v>0.96999999999999975</v>
      </c>
      <c r="S3" s="8">
        <v>1.4142135623730951E-4</v>
      </c>
      <c r="T3" s="13">
        <f>M3/R3</f>
        <v>1.6339098524631848</v>
      </c>
      <c r="U3" s="8">
        <f t="shared" ref="U3:U22" si="8">T3*SQRT(((S3/R3)^2)+((N3/M3)^2))</f>
        <v>0.64477044322692745</v>
      </c>
      <c r="V3" s="13">
        <f>SUM($T$2:T3)</f>
        <v>3.5603109720766568</v>
      </c>
      <c r="W3" s="8">
        <f>SQRT((U3^2)+(U2^2))</f>
        <v>0.89438411861016653</v>
      </c>
      <c r="X3" s="13">
        <f t="shared" ref="X3:X21" si="9">M3/60</f>
        <v>2.6414875948154816E-2</v>
      </c>
      <c r="Y3" s="8">
        <f t="shared" ref="Y3:Y16" si="10">X3*SQRT(((N3/M3)^2))</f>
        <v>1.0423788120745346E-2</v>
      </c>
      <c r="Z3" s="8">
        <f t="shared" ref="Z3:Z16" si="11">Y3^2</f>
        <v>1.0865535878619179E-4</v>
      </c>
      <c r="AA3" s="13">
        <f>(C3-$AE$6)*24</f>
        <v>242.20000000001164</v>
      </c>
      <c r="AB3" s="20">
        <f t="shared" ref="AB3:AB21" si="12">EXP(-$AE$9*AA3)</f>
        <v>0.9993347903857428</v>
      </c>
      <c r="AC3" s="13">
        <f t="shared" ref="AC3:AC21" si="13">X3/AB3</f>
        <v>2.643245907405934E-2</v>
      </c>
      <c r="AE3">
        <f>LN(2)/61.4</f>
        <v>1.1289042028663604E-2</v>
      </c>
    </row>
    <row r="4" spans="1:31" x14ac:dyDescent="0.25">
      <c r="A4" s="31" t="s">
        <v>18</v>
      </c>
      <c r="B4" s="28">
        <v>43320.583333333336</v>
      </c>
      <c r="C4" s="17">
        <v>43322.614583333336</v>
      </c>
      <c r="D4" s="18">
        <v>11.05</v>
      </c>
      <c r="E4" s="7">
        <v>5.56</v>
      </c>
      <c r="F4" s="8">
        <f t="shared" si="3"/>
        <v>0.61438000000000004</v>
      </c>
      <c r="G4" s="13">
        <f t="shared" si="0"/>
        <v>3.7500000000000009</v>
      </c>
      <c r="H4" s="8">
        <f t="shared" ref="H4:H17" si="14">SQRT((F4^2)+(F$17^2))</f>
        <v>0.91633417749694357</v>
      </c>
      <c r="I4" s="19">
        <f t="shared" si="4"/>
        <v>48.75</v>
      </c>
      <c r="J4" s="12">
        <f t="shared" si="5"/>
        <v>1.6666666666666666E-2</v>
      </c>
      <c r="K4" s="13">
        <f>1-EXP(-$AE$3*I4)</f>
        <v>0.42324677997792626</v>
      </c>
      <c r="L4" s="8">
        <f t="shared" si="6"/>
        <v>1.4469975383860726E-4</v>
      </c>
      <c r="M4" s="13">
        <f>G4/((1+K4))</f>
        <v>2.6348206458321735</v>
      </c>
      <c r="N4" s="8">
        <f t="shared" si="1"/>
        <v>0.64383428598052495</v>
      </c>
      <c r="O4" s="13">
        <f>M4*K4</f>
        <v>1.1151793541678274</v>
      </c>
      <c r="P4" s="8">
        <f t="shared" si="2"/>
        <v>0.27250105509090827</v>
      </c>
      <c r="Q4" s="13">
        <f t="shared" si="7"/>
        <v>3.7500000000000009</v>
      </c>
      <c r="R4" s="13">
        <v>1.0241000000000007</v>
      </c>
      <c r="S4" s="8">
        <v>1.4142135623730951E-4</v>
      </c>
      <c r="T4" s="13">
        <f>M4/R4</f>
        <v>2.5728157854039369</v>
      </c>
      <c r="U4" s="8">
        <f t="shared" si="8"/>
        <v>0.62868312546859884</v>
      </c>
      <c r="V4" s="13">
        <f>SUM($T$2:T4)</f>
        <v>6.1331267574805937</v>
      </c>
      <c r="W4" s="8">
        <f>SQRT((U4^2)+(U3^2)+(U2^2))</f>
        <v>1.0932362159529159</v>
      </c>
      <c r="X4" s="13">
        <f t="shared" si="9"/>
        <v>4.3913677430536223E-2</v>
      </c>
      <c r="Y4" s="8">
        <f t="shared" si="10"/>
        <v>1.0730571433008748E-2</v>
      </c>
      <c r="Z4" s="8">
        <f t="shared" si="11"/>
        <v>1.1514516327890341E-4</v>
      </c>
      <c r="AA4" s="13">
        <f>(C4-$AE$6)*24</f>
        <v>242.75000000005821</v>
      </c>
      <c r="AB4" s="20">
        <f t="shared" si="12"/>
        <v>0.99933328029781554</v>
      </c>
      <c r="AC4" s="13">
        <f t="shared" si="13"/>
        <v>4.3942975077793191E-2</v>
      </c>
    </row>
    <row r="5" spans="1:31" x14ac:dyDescent="0.25">
      <c r="A5" s="31" t="s">
        <v>19</v>
      </c>
      <c r="B5" s="28">
        <v>43320.583333333336</v>
      </c>
      <c r="C5" s="17">
        <v>43322.637499999997</v>
      </c>
      <c r="D5" s="18">
        <v>18.11</v>
      </c>
      <c r="E5" s="7">
        <v>4.34</v>
      </c>
      <c r="F5" s="8">
        <f t="shared" si="3"/>
        <v>0.78597399999999995</v>
      </c>
      <c r="G5" s="13">
        <f t="shared" si="0"/>
        <v>10.809999999999999</v>
      </c>
      <c r="H5" s="8">
        <f t="shared" si="14"/>
        <v>1.0392115612929833</v>
      </c>
      <c r="I5" s="19">
        <f t="shared" si="4"/>
        <v>49.299999999871943</v>
      </c>
      <c r="J5" s="12">
        <f t="shared" si="5"/>
        <v>1.6666666666666666E-2</v>
      </c>
      <c r="K5" s="13">
        <f>1-EXP(-$AE$3*I5)</f>
        <v>0.42681673088119076</v>
      </c>
      <c r="L5" s="8">
        <f t="shared" si="6"/>
        <v>1.4429233633613908E-4</v>
      </c>
      <c r="M5" s="13">
        <f>G5/((1+K5))</f>
        <v>7.5763058885101717</v>
      </c>
      <c r="N5" s="8">
        <f t="shared" si="1"/>
        <v>0.7283472113063465</v>
      </c>
      <c r="O5" s="13">
        <f>M5*K5</f>
        <v>3.233694111489827</v>
      </c>
      <c r="P5" s="8">
        <f t="shared" si="2"/>
        <v>0.31087269783957822</v>
      </c>
      <c r="Q5" s="13">
        <f t="shared" si="7"/>
        <v>10.809999999999999</v>
      </c>
      <c r="R5" s="13">
        <v>0.83750000000000036</v>
      </c>
      <c r="S5" s="8">
        <v>1.4142135623730951E-4</v>
      </c>
      <c r="T5" s="13">
        <f>M5/R5</f>
        <v>9.046335389265872</v>
      </c>
      <c r="U5" s="8">
        <f t="shared" si="8"/>
        <v>0.86966965360358617</v>
      </c>
      <c r="V5" s="13">
        <f>SUM($T$2:T5)</f>
        <v>15.179462146746467</v>
      </c>
      <c r="W5" s="8">
        <f>SQRT((U5^2)+(U4^2)+(U3^2)+(U2^2))</f>
        <v>1.3969576694624759</v>
      </c>
      <c r="X5" s="13">
        <f t="shared" si="9"/>
        <v>0.12627176480850286</v>
      </c>
      <c r="Y5" s="8">
        <f t="shared" si="10"/>
        <v>1.2139120188439108E-2</v>
      </c>
      <c r="Z5" s="8">
        <f t="shared" si="11"/>
        <v>1.4735823894936991E-4</v>
      </c>
      <c r="AA5" s="13">
        <f>(C5-$AE$6)*24</f>
        <v>243.29999999993015</v>
      </c>
      <c r="AB5" s="20">
        <f t="shared" si="12"/>
        <v>0.99933177021217057</v>
      </c>
      <c r="AC5" s="13">
        <f t="shared" si="13"/>
        <v>0.12635619978507617</v>
      </c>
    </row>
    <row r="6" spans="1:31" x14ac:dyDescent="0.25">
      <c r="A6" s="31" t="s">
        <v>20</v>
      </c>
      <c r="B6" s="28">
        <v>43320.583333333336</v>
      </c>
      <c r="C6" s="17">
        <v>43322.660416666666</v>
      </c>
      <c r="D6" s="18">
        <v>76.459999999999994</v>
      </c>
      <c r="E6" s="7">
        <v>2.11</v>
      </c>
      <c r="F6" s="8">
        <f t="shared" si="3"/>
        <v>1.6133059999999997</v>
      </c>
      <c r="G6" s="13">
        <f t="shared" si="0"/>
        <v>69.16</v>
      </c>
      <c r="H6" s="8">
        <f t="shared" si="14"/>
        <v>1.7507032273018175</v>
      </c>
      <c r="I6" s="19">
        <f t="shared" si="4"/>
        <v>49.849999999918509</v>
      </c>
      <c r="J6" s="12">
        <f t="shared" si="5"/>
        <v>1.6666666666666666E-2</v>
      </c>
      <c r="K6" s="13">
        <f>1-EXP(-$AE$3*I6)</f>
        <v>0.43036458472740979</v>
      </c>
      <c r="L6" s="8">
        <f t="shared" si="6"/>
        <v>1.4388652113945613E-4</v>
      </c>
      <c r="M6" s="13">
        <f>G6/((1+K6))</f>
        <v>48.351308986848338</v>
      </c>
      <c r="N6" s="8">
        <f t="shared" si="1"/>
        <v>1.2240626884802492</v>
      </c>
      <c r="O6" s="13">
        <f>M6*K6</f>
        <v>20.808691013151662</v>
      </c>
      <c r="P6" s="8">
        <f t="shared" si="2"/>
        <v>0.52683916813179843</v>
      </c>
      <c r="Q6" s="13">
        <f t="shared" si="7"/>
        <v>69.16</v>
      </c>
      <c r="R6" s="13">
        <v>3.6874000000000002</v>
      </c>
      <c r="S6" s="8">
        <v>1.4142135623730951E-4</v>
      </c>
      <c r="T6" s="13">
        <f>M6/R6</f>
        <v>13.112574981517691</v>
      </c>
      <c r="U6" s="8">
        <f t="shared" si="8"/>
        <v>0.33195858684790935</v>
      </c>
      <c r="V6" s="13">
        <f>SUM($T$2:T6)</f>
        <v>28.292037128264155</v>
      </c>
      <c r="W6" s="8">
        <f>SQRT((U6^2)+(U5^2)+(U4^2)+(U3^2)+(U2^2))</f>
        <v>1.4358576648303596</v>
      </c>
      <c r="X6" s="13">
        <f t="shared" si="9"/>
        <v>0.80585514978080564</v>
      </c>
      <c r="Y6" s="8">
        <f t="shared" si="10"/>
        <v>2.0401044808004153E-2</v>
      </c>
      <c r="Z6" s="8">
        <f t="shared" si="11"/>
        <v>4.162026292581932E-4</v>
      </c>
      <c r="AA6" s="13">
        <f>(C6-$AE$6)*24</f>
        <v>243.84999999997672</v>
      </c>
      <c r="AB6" s="20">
        <f t="shared" si="12"/>
        <v>0.9993302601288071</v>
      </c>
      <c r="AC6" s="13">
        <f t="shared" si="13"/>
        <v>0.80639522481480364</v>
      </c>
      <c r="AE6" s="1">
        <v>43312.5</v>
      </c>
    </row>
    <row r="7" spans="1:31" x14ac:dyDescent="0.25">
      <c r="A7" s="31" t="s">
        <v>21</v>
      </c>
      <c r="B7" s="28">
        <v>43320.583333333336</v>
      </c>
      <c r="C7" s="17">
        <v>43322.683333333334</v>
      </c>
      <c r="D7" s="18">
        <v>288.97000000000003</v>
      </c>
      <c r="E7" s="7">
        <v>1.0900000000000001</v>
      </c>
      <c r="F7" s="8">
        <f t="shared" si="3"/>
        <v>3.1497730000000002</v>
      </c>
      <c r="G7" s="13">
        <f t="shared" si="0"/>
        <v>281.67</v>
      </c>
      <c r="H7" s="8">
        <f t="shared" si="14"/>
        <v>3.2223090311107656</v>
      </c>
      <c r="I7" s="19">
        <f t="shared" si="4"/>
        <v>50.399999999965075</v>
      </c>
      <c r="J7" s="12">
        <f t="shared" si="5"/>
        <v>1.6666666666666666E-2</v>
      </c>
      <c r="K7" s="13">
        <f>1-EXP(-$AE$3*I7)</f>
        <v>0.43389047829043093</v>
      </c>
      <c r="L7" s="8">
        <f t="shared" si="6"/>
        <v>1.4348230102206731E-4</v>
      </c>
      <c r="M7" s="13">
        <f>G7/((1+K7))</f>
        <v>196.43759705819627</v>
      </c>
      <c r="N7" s="8">
        <f t="shared" si="1"/>
        <v>2.248187732905361</v>
      </c>
      <c r="O7" s="13">
        <f>M7*K7</f>
        <v>85.232402941803727</v>
      </c>
      <c r="P7" s="8">
        <f t="shared" si="2"/>
        <v>0.97587436148129991</v>
      </c>
      <c r="Q7" s="13">
        <f t="shared" si="7"/>
        <v>281.67</v>
      </c>
      <c r="R7" s="13">
        <v>0.68070000000000075</v>
      </c>
      <c r="S7" s="8">
        <v>1.4142135623730951E-4</v>
      </c>
      <c r="T7" s="13">
        <f>M7/R7</f>
        <v>288.58174975495234</v>
      </c>
      <c r="U7" s="8">
        <f t="shared" si="8"/>
        <v>3.3033026759797299</v>
      </c>
      <c r="V7" s="13">
        <f>SUM($T$2:T7)</f>
        <v>316.8737868832165</v>
      </c>
      <c r="W7" s="8">
        <f>SQRT((U7^2)+(U6^2)+(U5^2)+(U4^2)+(U3^2)+(U2^2))</f>
        <v>3.6018739293299729</v>
      </c>
      <c r="X7" s="13">
        <f t="shared" si="9"/>
        <v>3.273959950969938</v>
      </c>
      <c r="Y7" s="8">
        <f t="shared" si="10"/>
        <v>3.7469795548422682E-2</v>
      </c>
      <c r="Z7" s="8">
        <f t="shared" si="11"/>
        <v>1.4039855784405964E-3</v>
      </c>
      <c r="AA7" s="13">
        <f>(C7-$AE$6)*24</f>
        <v>244.40000000002328</v>
      </c>
      <c r="AB7" s="20">
        <f t="shared" si="12"/>
        <v>0.99932875004772548</v>
      </c>
      <c r="AC7" s="13">
        <f t="shared" si="13"/>
        <v>3.2761590725910583</v>
      </c>
    </row>
    <row r="8" spans="1:31" x14ac:dyDescent="0.25">
      <c r="A8" s="31" t="s">
        <v>22</v>
      </c>
      <c r="B8" s="28">
        <v>43320.583333333336</v>
      </c>
      <c r="C8" s="17">
        <v>43322.706250000003</v>
      </c>
      <c r="D8" s="18">
        <v>479.25</v>
      </c>
      <c r="E8" s="7">
        <v>0.84</v>
      </c>
      <c r="F8" s="8">
        <f t="shared" si="3"/>
        <v>4.0256999999999996</v>
      </c>
      <c r="G8" s="13">
        <f t="shared" si="0"/>
        <v>471.95</v>
      </c>
      <c r="H8" s="8">
        <f t="shared" si="14"/>
        <v>4.082703274847316</v>
      </c>
      <c r="I8" s="19">
        <f t="shared" si="4"/>
        <v>50.950000000011642</v>
      </c>
      <c r="J8" s="12">
        <f t="shared" si="5"/>
        <v>1.6666666666666666E-2</v>
      </c>
      <c r="K8" s="13">
        <f>1-EXP(-$AE$3*I8)</f>
        <v>0.43739454749863771</v>
      </c>
      <c r="L8" s="8">
        <f t="shared" si="6"/>
        <v>1.4307966879245594E-4</v>
      </c>
      <c r="M8" s="13">
        <f>G8/((1+K8))</f>
        <v>328.33712971938712</v>
      </c>
      <c r="N8" s="8">
        <f t="shared" si="1"/>
        <v>2.8423797534512745</v>
      </c>
      <c r="O8" s="13">
        <f>M8*K8</f>
        <v>143.61287028061284</v>
      </c>
      <c r="P8" s="8">
        <f t="shared" si="2"/>
        <v>1.2441286753509937</v>
      </c>
      <c r="Q8" s="13">
        <f t="shared" si="7"/>
        <v>471.94999999999993</v>
      </c>
      <c r="R8" s="13">
        <v>0.82100000000000062</v>
      </c>
      <c r="S8" s="8">
        <v>1.4142135623730951E-4</v>
      </c>
      <c r="T8" s="13">
        <f>M8/R8</f>
        <v>399.92342231350409</v>
      </c>
      <c r="U8" s="8">
        <f t="shared" si="8"/>
        <v>3.4627800132181834</v>
      </c>
      <c r="V8" s="13">
        <f>SUM($T$2:T8)</f>
        <v>716.79720919672059</v>
      </c>
      <c r="W8" s="8">
        <f>SQRT((U8^2)+(U7^2)+(U6^2)+(U5^2)+(U4^2)+(U3^2)+(U2^2))</f>
        <v>4.9964328498169834</v>
      </c>
      <c r="X8" s="13">
        <f t="shared" si="9"/>
        <v>5.4722854953231188</v>
      </c>
      <c r="Y8" s="8">
        <f t="shared" si="10"/>
        <v>4.7372995890854579E-2</v>
      </c>
      <c r="Z8" s="8">
        <f t="shared" si="11"/>
        <v>2.2442007396749246E-3</v>
      </c>
      <c r="AA8" s="13">
        <f>(C8-$AE$6)*24</f>
        <v>244.95000000006985</v>
      </c>
      <c r="AB8" s="20">
        <f t="shared" si="12"/>
        <v>0.9993272399689257</v>
      </c>
      <c r="AC8" s="13">
        <f t="shared" si="13"/>
        <v>5.4759695087399809</v>
      </c>
      <c r="AE8" t="s">
        <v>148</v>
      </c>
    </row>
    <row r="9" spans="1:31" x14ac:dyDescent="0.25">
      <c r="A9" s="31" t="s">
        <v>23</v>
      </c>
      <c r="B9" s="28">
        <v>43320.583333333336</v>
      </c>
      <c r="C9" s="17">
        <v>43322.729166666664</v>
      </c>
      <c r="D9" s="18">
        <v>364.11</v>
      </c>
      <c r="E9" s="7">
        <v>0.97</v>
      </c>
      <c r="F9" s="8">
        <f t="shared" si="3"/>
        <v>3.5318670000000001</v>
      </c>
      <c r="G9" s="13">
        <f t="shared" si="0"/>
        <v>356.81</v>
      </c>
      <c r="H9" s="8">
        <f t="shared" si="14"/>
        <v>3.5967054433381116</v>
      </c>
      <c r="I9" s="19">
        <f t="shared" si="4"/>
        <v>51.499999999883585</v>
      </c>
      <c r="J9" s="12">
        <f t="shared" si="5"/>
        <v>1.6666666666666666E-2</v>
      </c>
      <c r="K9" s="13">
        <f>1-EXP(-$AE$3*I9)</f>
        <v>0.44087692743795026</v>
      </c>
      <c r="L9" s="8">
        <f t="shared" si="6"/>
        <v>1.4267861729415758E-4</v>
      </c>
      <c r="M9" s="13">
        <f>G9/((1+K9))</f>
        <v>247.63391876532469</v>
      </c>
      <c r="N9" s="8">
        <f t="shared" si="1"/>
        <v>2.4974781147628549</v>
      </c>
      <c r="O9" s="13">
        <f>M9*K9</f>
        <v>109.17608123467532</v>
      </c>
      <c r="P9" s="8">
        <f t="shared" si="2"/>
        <v>1.1016472089258642</v>
      </c>
      <c r="Q9" s="13">
        <f t="shared" si="7"/>
        <v>356.81</v>
      </c>
      <c r="R9" s="13">
        <v>0.76689999999999969</v>
      </c>
      <c r="S9" s="8">
        <v>1.4142135623730951E-4</v>
      </c>
      <c r="T9" s="13">
        <f>M9/R9</f>
        <v>322.90248893639949</v>
      </c>
      <c r="U9" s="8">
        <f t="shared" si="8"/>
        <v>3.257133348655715</v>
      </c>
      <c r="V9" s="13">
        <f>SUM($T$2:T9)</f>
        <v>1039.6996981331201</v>
      </c>
      <c r="W9" s="8">
        <f>SQRT((U9^2)+(U8^2)+(U7^2)+(U6^2)+(U5^2)+(U4^2)+(U3^2)+(U2^2))</f>
        <v>5.9643322236152683</v>
      </c>
      <c r="X9" s="13">
        <f t="shared" si="9"/>
        <v>4.1272319794220786</v>
      </c>
      <c r="Y9" s="8">
        <f t="shared" si="10"/>
        <v>4.1624635246047585E-2</v>
      </c>
      <c r="Z9" s="8">
        <f t="shared" si="11"/>
        <v>1.7326102593665069E-3</v>
      </c>
      <c r="AA9" s="13">
        <f>(C9-$AE$6)*24</f>
        <v>245.49999999994179</v>
      </c>
      <c r="AB9" s="20">
        <f t="shared" si="12"/>
        <v>0.9993257298924082</v>
      </c>
      <c r="AC9" s="13">
        <f t="shared" si="13"/>
        <v>4.1300167262444392</v>
      </c>
      <c r="AE9">
        <f>LN(2)/252288</f>
        <v>2.7474441137110973E-6</v>
      </c>
    </row>
    <row r="10" spans="1:31" x14ac:dyDescent="0.25">
      <c r="A10" s="31" t="s">
        <v>24</v>
      </c>
      <c r="B10" s="28">
        <v>43320.583333333336</v>
      </c>
      <c r="C10" s="17">
        <v>43322.752083333333</v>
      </c>
      <c r="D10" s="18">
        <v>241.88</v>
      </c>
      <c r="E10" s="7">
        <v>1.19</v>
      </c>
      <c r="F10" s="8">
        <f t="shared" si="3"/>
        <v>2.8783719999999997</v>
      </c>
      <c r="G10" s="13">
        <f t="shared" si="0"/>
        <v>234.57999999999998</v>
      </c>
      <c r="H10" s="8">
        <f t="shared" si="14"/>
        <v>2.9575717930141607</v>
      </c>
      <c r="I10" s="19">
        <f t="shared" si="4"/>
        <v>52.049999999930151</v>
      </c>
      <c r="J10" s="12">
        <f t="shared" si="5"/>
        <v>1.6666666666666666E-2</v>
      </c>
      <c r="K10" s="13">
        <f>1-EXP(-$AE$3*I10)</f>
        <v>0.44433775236144935</v>
      </c>
      <c r="L10" s="8">
        <f t="shared" si="6"/>
        <v>1.4227913940507384E-4</v>
      </c>
      <c r="M10" s="13">
        <f>G10/((1+K10))</f>
        <v>162.41353493424143</v>
      </c>
      <c r="N10" s="8">
        <f t="shared" si="1"/>
        <v>2.0483612425208366</v>
      </c>
      <c r="O10" s="13">
        <f>M10*K10</f>
        <v>72.166465065758572</v>
      </c>
      <c r="P10" s="8">
        <f t="shared" si="2"/>
        <v>0.91045752722053686</v>
      </c>
      <c r="Q10" s="13">
        <f t="shared" si="7"/>
        <v>234.57999999999998</v>
      </c>
      <c r="R10" s="13">
        <v>0.81200000000000028</v>
      </c>
      <c r="S10" s="8">
        <v>1.4142135623730951E-4</v>
      </c>
      <c r="T10" s="13">
        <f>M10/R10</f>
        <v>200.01666863822828</v>
      </c>
      <c r="U10" s="8">
        <f t="shared" si="8"/>
        <v>2.5228528864743525</v>
      </c>
      <c r="V10" s="13">
        <f>SUM($T$2:T10)</f>
        <v>1239.7163667713485</v>
      </c>
      <c r="W10" s="8">
        <f>SQRT((U10^2)+(U9^2)+(U8^2)+(U7^2)+(U6^2)+(U5^2)+(U4^2)+(U3^2)+(U2^2))</f>
        <v>6.4759590456122726</v>
      </c>
      <c r="X10" s="13">
        <f t="shared" si="9"/>
        <v>2.7068922489040239</v>
      </c>
      <c r="Y10" s="8">
        <f t="shared" si="10"/>
        <v>3.4139354042013945E-2</v>
      </c>
      <c r="Z10" s="8">
        <f t="shared" si="11"/>
        <v>1.165495494405974E-3</v>
      </c>
      <c r="AA10" s="13">
        <f>(C10-$AE$6)*24</f>
        <v>246.04999999998836</v>
      </c>
      <c r="AB10" s="20">
        <f t="shared" si="12"/>
        <v>0.99932421981817221</v>
      </c>
      <c r="AC10" s="13">
        <f t="shared" si="13"/>
        <v>2.708722750056578</v>
      </c>
    </row>
    <row r="11" spans="1:31" x14ac:dyDescent="0.25">
      <c r="A11" s="31" t="s">
        <v>25</v>
      </c>
      <c r="B11" s="28">
        <v>43320.583333333336</v>
      </c>
      <c r="C11" s="17">
        <v>43322.775000000001</v>
      </c>
      <c r="D11" s="18">
        <v>138.59</v>
      </c>
      <c r="E11" s="7">
        <v>1.57</v>
      </c>
      <c r="F11" s="8">
        <f t="shared" si="3"/>
        <v>2.1758630000000005</v>
      </c>
      <c r="G11" s="13">
        <f t="shared" si="0"/>
        <v>131.29</v>
      </c>
      <c r="H11" s="8">
        <f t="shared" si="14"/>
        <v>2.2796020124613863</v>
      </c>
      <c r="I11" s="19">
        <f t="shared" si="4"/>
        <v>52.599999999976717</v>
      </c>
      <c r="J11" s="12">
        <f t="shared" si="5"/>
        <v>1.6666666666666666E-2</v>
      </c>
      <c r="K11" s="13">
        <f>1-EXP(-$AE$3*I11)</f>
        <v>0.44777715568791743</v>
      </c>
      <c r="L11" s="8">
        <f t="shared" si="6"/>
        <v>1.4188122803805947E-4</v>
      </c>
      <c r="M11" s="13">
        <f>G11/((1+K11))</f>
        <v>90.683845565733478</v>
      </c>
      <c r="N11" s="8">
        <f t="shared" si="1"/>
        <v>1.5748152602417851</v>
      </c>
      <c r="O11" s="13">
        <f>M11*K11</f>
        <v>40.6061544342665</v>
      </c>
      <c r="P11" s="8">
        <f t="shared" si="2"/>
        <v>0.70528366659916464</v>
      </c>
      <c r="Q11" s="13">
        <f t="shared" si="7"/>
        <v>131.28999999999996</v>
      </c>
      <c r="R11" s="13">
        <v>0.78939999999999966</v>
      </c>
      <c r="S11" s="8">
        <v>1.4142135623730951E-4</v>
      </c>
      <c r="T11" s="13">
        <f>M11/R11</f>
        <v>114.87692622971056</v>
      </c>
      <c r="U11" s="8">
        <f t="shared" si="8"/>
        <v>1.9950583436342675</v>
      </c>
      <c r="V11" s="13">
        <f>SUM($T$2:T11)</f>
        <v>1354.593293001059</v>
      </c>
      <c r="W11" s="8">
        <f>SQRT((U11^2)+(U10^2)+(U9^2)+(U8^2)+(U7^2)+(U6^2)+(U5^2)+(U4^2)+(U3^2)+(U2^2))</f>
        <v>6.7763045500443768</v>
      </c>
      <c r="X11" s="13">
        <f t="shared" si="9"/>
        <v>1.511397426095558</v>
      </c>
      <c r="Y11" s="8">
        <f t="shared" si="10"/>
        <v>2.6246921004029755E-2</v>
      </c>
      <c r="Z11" s="8">
        <f t="shared" si="11"/>
        <v>6.8890086219177836E-4</v>
      </c>
      <c r="AA11" s="13">
        <f>(C11-$AE$6)*24</f>
        <v>246.60000000003492</v>
      </c>
      <c r="AB11" s="20">
        <f t="shared" si="12"/>
        <v>0.99932270974621795</v>
      </c>
      <c r="AC11" s="13">
        <f t="shared" si="13"/>
        <v>1.5124217746231181</v>
      </c>
    </row>
    <row r="12" spans="1:31" x14ac:dyDescent="0.25">
      <c r="A12" s="31" t="s">
        <v>26</v>
      </c>
      <c r="B12" s="28">
        <v>43320.583333333336</v>
      </c>
      <c r="C12" s="17">
        <v>43322.79791666667</v>
      </c>
      <c r="D12" s="18">
        <v>78.75</v>
      </c>
      <c r="E12" s="7">
        <v>2.08</v>
      </c>
      <c r="F12" s="8">
        <f t="shared" si="3"/>
        <v>1.6379999999999999</v>
      </c>
      <c r="G12" s="13">
        <f t="shared" si="0"/>
        <v>71.45</v>
      </c>
      <c r="H12" s="8">
        <f t="shared" si="14"/>
        <v>1.7734851396188804</v>
      </c>
      <c r="I12" s="19">
        <f t="shared" si="4"/>
        <v>53.150000000023283</v>
      </c>
      <c r="J12" s="12">
        <f t="shared" si="5"/>
        <v>1.6666666666666666E-2</v>
      </c>
      <c r="K12" s="13">
        <f>1-EXP(-$AE$3*I12)</f>
        <v>0.45119527001141224</v>
      </c>
      <c r="L12" s="8">
        <f t="shared" si="6"/>
        <v>1.4148487614023663E-4</v>
      </c>
      <c r="M12" s="13">
        <f>G12/((1+K12))</f>
        <v>49.235276241934088</v>
      </c>
      <c r="N12" s="8">
        <f t="shared" si="1"/>
        <v>1.2221833251253651</v>
      </c>
      <c r="O12" s="13">
        <f>M12*K12</f>
        <v>22.214723758065922</v>
      </c>
      <c r="P12" s="8">
        <f t="shared" si="2"/>
        <v>0.55148733253721471</v>
      </c>
      <c r="Q12" s="13">
        <f t="shared" si="7"/>
        <v>71.450000000000017</v>
      </c>
      <c r="R12" s="13">
        <v>0.78929999999999989</v>
      </c>
      <c r="S12" s="8">
        <v>1.4142135623730951E-4</v>
      </c>
      <c r="T12" s="13">
        <f>M12/R12</f>
        <v>62.378406489210811</v>
      </c>
      <c r="U12" s="8">
        <f t="shared" si="8"/>
        <v>1.5484798704106941</v>
      </c>
      <c r="V12" s="13">
        <f>SUM($T$2:T12)</f>
        <v>1416.9716994902699</v>
      </c>
      <c r="W12" s="8">
        <f>SQRT((U12^2)+(U11^2)+(U10^2)+(U9^2)+(U8^2)+(U7^2)+(U6^2)+(U5^2)+(U4^2)+(U3^2)+(U2^2))</f>
        <v>6.9509778638706123</v>
      </c>
      <c r="X12" s="13">
        <f t="shared" si="9"/>
        <v>0.82058793736556812</v>
      </c>
      <c r="Y12" s="8">
        <f t="shared" si="10"/>
        <v>2.0369722085422752E-2</v>
      </c>
      <c r="Z12" s="8">
        <f t="shared" si="11"/>
        <v>4.1492557783735941E-4</v>
      </c>
      <c r="AA12" s="13">
        <f>(C12-$AE$6)*24</f>
        <v>247.15000000008149</v>
      </c>
      <c r="AB12" s="20">
        <f t="shared" si="12"/>
        <v>0.99932119967654565</v>
      </c>
      <c r="AC12" s="13">
        <f t="shared" si="13"/>
        <v>0.82114533108190957</v>
      </c>
    </row>
    <row r="13" spans="1:31" x14ac:dyDescent="0.25">
      <c r="A13" s="31" t="s">
        <v>27</v>
      </c>
      <c r="B13" s="28">
        <v>43320.583333333336</v>
      </c>
      <c r="C13" s="17">
        <v>43322.819444444445</v>
      </c>
      <c r="D13" s="18">
        <v>46.26</v>
      </c>
      <c r="E13" s="7">
        <v>2.72</v>
      </c>
      <c r="F13" s="8">
        <f t="shared" si="3"/>
        <v>1.2582720000000001</v>
      </c>
      <c r="G13" s="13">
        <f t="shared" si="0"/>
        <v>38.96</v>
      </c>
      <c r="H13" s="8">
        <f t="shared" si="14"/>
        <v>1.4301936814407341</v>
      </c>
      <c r="I13" s="19">
        <f t="shared" si="4"/>
        <v>53.666666666627862</v>
      </c>
      <c r="J13" s="12">
        <f t="shared" si="5"/>
        <v>1.6666666666666666E-2</v>
      </c>
      <c r="K13" s="13">
        <f>1-EXP(-$AE$3*I13)</f>
        <v>0.45438695077510471</v>
      </c>
      <c r="L13" s="8">
        <f t="shared" si="6"/>
        <v>1.4111395986814696E-4</v>
      </c>
      <c r="M13" s="13">
        <f>G13/((1+K13))</f>
        <v>26.787919115498497</v>
      </c>
      <c r="N13" s="8">
        <f t="shared" si="1"/>
        <v>0.98340050416642855</v>
      </c>
      <c r="O13" s="13">
        <f>M13*K13</f>
        <v>12.172080884501502</v>
      </c>
      <c r="P13" s="8">
        <f t="shared" si="2"/>
        <v>0.44686034557351761</v>
      </c>
      <c r="Q13" s="13">
        <f t="shared" si="7"/>
        <v>38.96</v>
      </c>
      <c r="R13" s="13">
        <v>0.81700000000000017</v>
      </c>
      <c r="S13" s="8">
        <v>1.4142135623730951E-4</v>
      </c>
      <c r="T13" s="13">
        <f>M13/R13</f>
        <v>32.788150692164614</v>
      </c>
      <c r="U13" s="8">
        <f t="shared" si="8"/>
        <v>1.2036859684225181</v>
      </c>
      <c r="V13" s="13">
        <f>SUM($T$2:T13)</f>
        <v>1449.7598501824345</v>
      </c>
      <c r="W13" s="8">
        <f>SQRT((U13^2)+(U12^2)+(U11^2)+(U10^2)+(U9^2)+(U8^2)+(U7^2)+(U6^2)+(U5^2)+(U4^2)+(U3^2)+(U2^2))</f>
        <v>7.0544279126373182</v>
      </c>
      <c r="X13" s="13">
        <f t="shared" si="9"/>
        <v>0.44646531859164162</v>
      </c>
      <c r="Y13" s="8">
        <f t="shared" si="10"/>
        <v>1.6390008402773808E-2</v>
      </c>
      <c r="Z13" s="8">
        <f t="shared" si="11"/>
        <v>2.6863237544299607E-4</v>
      </c>
      <c r="AA13" s="13">
        <f>(C13-$AE$6)*24</f>
        <v>247.66666666668607</v>
      </c>
      <c r="AB13" s="20">
        <f t="shared" si="12"/>
        <v>0.99931978112832631</v>
      </c>
      <c r="AC13" s="13">
        <f t="shared" si="13"/>
        <v>0.44676921944599174</v>
      </c>
    </row>
    <row r="14" spans="1:31" x14ac:dyDescent="0.25">
      <c r="A14" s="31" t="s">
        <v>28</v>
      </c>
      <c r="B14" s="28">
        <v>43320.583333333336</v>
      </c>
      <c r="C14" s="17">
        <v>43322.842361111114</v>
      </c>
      <c r="D14" s="18">
        <v>27.09</v>
      </c>
      <c r="E14" s="7">
        <v>3.55</v>
      </c>
      <c r="F14" s="8">
        <f t="shared" si="3"/>
        <v>0.96169499999999986</v>
      </c>
      <c r="G14" s="13">
        <f t="shared" si="0"/>
        <v>19.79</v>
      </c>
      <c r="H14" s="8">
        <f t="shared" si="14"/>
        <v>1.1777363089732777</v>
      </c>
      <c r="I14" s="19">
        <f t="shared" si="4"/>
        <v>54.216666666674428</v>
      </c>
      <c r="J14" s="12">
        <f t="shared" si="5"/>
        <v>1.6666666666666666E-2</v>
      </c>
      <c r="K14" s="13">
        <f>1-EXP(-$AE$3*I14)</f>
        <v>0.45776415220356892</v>
      </c>
      <c r="L14" s="8">
        <f t="shared" si="6"/>
        <v>1.4072061242038222E-4</v>
      </c>
      <c r="M14" s="13">
        <f>G14/((1+K14))</f>
        <v>13.575584205500776</v>
      </c>
      <c r="N14" s="8">
        <f t="shared" si="1"/>
        <v>0.80791671244774987</v>
      </c>
      <c r="O14" s="13">
        <f>M14*K14</f>
        <v>6.2144157944992235</v>
      </c>
      <c r="P14" s="8">
        <f t="shared" si="2"/>
        <v>0.36984024283475303</v>
      </c>
      <c r="Q14" s="13">
        <f t="shared" si="7"/>
        <v>19.79</v>
      </c>
      <c r="R14" s="13">
        <v>0.77289999999999992</v>
      </c>
      <c r="S14" s="8">
        <v>1.4142135623730951E-4</v>
      </c>
      <c r="T14" s="13">
        <f>M14/R14</f>
        <v>17.564476912279439</v>
      </c>
      <c r="U14" s="8">
        <f t="shared" si="8"/>
        <v>1.0453105589803608</v>
      </c>
      <c r="V14" s="13">
        <f>SUM($T$2:T14)</f>
        <v>1467.3243270947139</v>
      </c>
      <c r="W14" s="8">
        <f>SQRT((U14^2)+(U13^2)+(U12^2)+(U11^2)+(U10^2)+(U9^2)+(U8^2)+(U7^2)+(U6^2)+(U5^2)+(U4^2)+(U3^2)+(U2^2))</f>
        <v>7.1314533819770807</v>
      </c>
      <c r="X14" s="13">
        <f t="shared" si="9"/>
        <v>0.22625973675834626</v>
      </c>
      <c r="Y14" s="8">
        <f t="shared" si="10"/>
        <v>1.3465278540795831E-2</v>
      </c>
      <c r="Z14" s="8">
        <f t="shared" si="11"/>
        <v>1.813137261812167E-4</v>
      </c>
      <c r="AA14" s="13">
        <f>(C14-$AE$6)*24</f>
        <v>248.21666666673264</v>
      </c>
      <c r="AB14" s="20">
        <f t="shared" si="12"/>
        <v>0.99931827106307936</v>
      </c>
      <c r="AC14" s="13">
        <f t="shared" si="13"/>
        <v>0.22641408979508612</v>
      </c>
    </row>
    <row r="15" spans="1:31" x14ac:dyDescent="0.25">
      <c r="A15" s="31" t="s">
        <v>29</v>
      </c>
      <c r="B15" s="28">
        <v>43320.583333333336</v>
      </c>
      <c r="C15" s="17">
        <v>43322.865277777775</v>
      </c>
      <c r="D15" s="18">
        <v>21.22</v>
      </c>
      <c r="E15" s="7">
        <v>4.01</v>
      </c>
      <c r="F15" s="8">
        <f t="shared" si="3"/>
        <v>0.85092199999999985</v>
      </c>
      <c r="G15" s="13">
        <f t="shared" si="0"/>
        <v>13.919999999999998</v>
      </c>
      <c r="H15" s="8">
        <f t="shared" si="14"/>
        <v>1.0891619670797359</v>
      </c>
      <c r="I15" s="19">
        <f t="shared" si="4"/>
        <v>54.766666666546371</v>
      </c>
      <c r="J15" s="12">
        <f t="shared" si="5"/>
        <v>1.6666666666666666E-2</v>
      </c>
      <c r="K15" s="13">
        <f>1-EXP(-$AE$3*I15)</f>
        <v>0.46112044964140408</v>
      </c>
      <c r="L15" s="8">
        <f t="shared" si="6"/>
        <v>1.4032880390822181E-4</v>
      </c>
      <c r="M15" s="13">
        <f>G15/((1+K15))</f>
        <v>9.5269353073638232</v>
      </c>
      <c r="N15" s="8">
        <f t="shared" si="1"/>
        <v>0.74543491968704378</v>
      </c>
      <c r="O15" s="13">
        <f>M15*K15</f>
        <v>4.3930646926361741</v>
      </c>
      <c r="P15" s="8">
        <f t="shared" si="2"/>
        <v>0.34373788517074916</v>
      </c>
      <c r="Q15" s="13">
        <f t="shared" si="7"/>
        <v>13.919999999999998</v>
      </c>
      <c r="R15" s="13">
        <v>0.80320000000000036</v>
      </c>
      <c r="S15" s="8">
        <v>1.4142135623730951E-4</v>
      </c>
      <c r="T15" s="13">
        <f>M15/R15</f>
        <v>11.861224237255751</v>
      </c>
      <c r="U15" s="8">
        <f t="shared" si="8"/>
        <v>0.92808367407990811</v>
      </c>
      <c r="V15" s="13">
        <f>SUM($T$2:T15)</f>
        <v>1479.1855513319697</v>
      </c>
      <c r="W15" s="8">
        <f>SQRT((U15^2)+(U14^2)+(U13^2)+(U12^2)+(U11^2)+(U10^2)+(U9^2)+(U8^2)+(U7^2)+(U6^2)+(U5^2)+(U4^2)+(U3^2)+(U2^2))</f>
        <v>7.1915899942506467</v>
      </c>
      <c r="X15" s="13">
        <f t="shared" si="9"/>
        <v>0.15878225512273039</v>
      </c>
      <c r="Y15" s="8">
        <f t="shared" si="10"/>
        <v>1.2423915328117397E-2</v>
      </c>
      <c r="Z15" s="8">
        <f t="shared" si="11"/>
        <v>1.5435367208023039E-4</v>
      </c>
      <c r="AA15" s="13">
        <f>(C15-$AE$6)*24</f>
        <v>248.76666666660458</v>
      </c>
      <c r="AB15" s="20">
        <f t="shared" si="12"/>
        <v>0.99931676100011479</v>
      </c>
      <c r="AC15" s="13">
        <f t="shared" si="13"/>
        <v>0.15889081552462037</v>
      </c>
    </row>
    <row r="16" spans="1:31" x14ac:dyDescent="0.25">
      <c r="A16" s="31" t="s">
        <v>30</v>
      </c>
      <c r="B16" s="28">
        <v>43320.583333333336</v>
      </c>
      <c r="C16" s="17">
        <v>43322.888194444444</v>
      </c>
      <c r="D16" s="18">
        <v>16.440000000000001</v>
      </c>
      <c r="E16" s="7">
        <v>4.55</v>
      </c>
      <c r="F16" s="8">
        <f t="shared" si="3"/>
        <v>0.74802000000000002</v>
      </c>
      <c r="G16" s="13">
        <f t="shared" si="0"/>
        <v>9.14</v>
      </c>
      <c r="H16" s="8">
        <f t="shared" si="14"/>
        <v>1.0108112884455733</v>
      </c>
      <c r="I16" s="19">
        <f t="shared" si="4"/>
        <v>55.316666666592937</v>
      </c>
      <c r="J16" s="12">
        <f t="shared" si="5"/>
        <v>1.6666666666666666E-2</v>
      </c>
      <c r="K16" s="13">
        <f>1-EXP(-$AE$3*I16)</f>
        <v>0.46445597248094506</v>
      </c>
      <c r="L16" s="8">
        <f t="shared" si="6"/>
        <v>1.399385274123423E-4</v>
      </c>
      <c r="M16" s="13">
        <f>G16/((1+K16))</f>
        <v>6.2412255279452769</v>
      </c>
      <c r="N16" s="8">
        <f t="shared" si="1"/>
        <v>0.69023245402982281</v>
      </c>
      <c r="O16" s="13">
        <f>M16*K16</f>
        <v>2.8987744720547233</v>
      </c>
      <c r="P16" s="8">
        <f t="shared" si="2"/>
        <v>0.32058377539120753</v>
      </c>
      <c r="Q16" s="13">
        <f t="shared" si="7"/>
        <v>9.14</v>
      </c>
      <c r="R16" s="13">
        <v>0.77309999999999945</v>
      </c>
      <c r="S16" s="8">
        <v>1.4142135623730951E-4</v>
      </c>
      <c r="T16" s="13">
        <f>M16/R16</f>
        <v>8.0729860664147992</v>
      </c>
      <c r="U16" s="8">
        <f t="shared" si="8"/>
        <v>0.89281257049388041</v>
      </c>
      <c r="V16" s="13">
        <f>SUM($T$2:T16)</f>
        <v>1487.2585373983845</v>
      </c>
      <c r="W16" s="8">
        <f>SQRT((U16^2)+(U15^2)+(U14^2)+(U13^2)+(U12^2)+(U11^2)+(U10^2)+(U9^2)+(U8^2)+(U7^2)+(U6^2)+(U5^2)+(U4^2)+(U3^2)+(U2^2))</f>
        <v>7.2467979778270273</v>
      </c>
      <c r="X16" s="13">
        <f t="shared" si="9"/>
        <v>0.10402042546575462</v>
      </c>
      <c r="Y16" s="8">
        <f t="shared" si="10"/>
        <v>1.1503874233830381E-2</v>
      </c>
      <c r="Z16" s="8">
        <f t="shared" si="11"/>
        <v>1.3233912238778655E-4</v>
      </c>
      <c r="AA16" s="13">
        <f>(C16-$AE$6)*24</f>
        <v>249.31666666665114</v>
      </c>
      <c r="AB16" s="20">
        <f t="shared" si="12"/>
        <v>0.99931525093943163</v>
      </c>
      <c r="AC16" s="13">
        <f t="shared" si="13"/>
        <v>0.10409170216102234</v>
      </c>
    </row>
    <row r="17" spans="1:29" x14ac:dyDescent="0.25">
      <c r="A17" s="31" t="s">
        <v>31</v>
      </c>
      <c r="B17" s="28">
        <v>43320.583333333336</v>
      </c>
      <c r="C17" s="17">
        <v>43322.911111111112</v>
      </c>
      <c r="D17" s="18">
        <v>13.57</v>
      </c>
      <c r="E17" s="7">
        <v>5.01</v>
      </c>
      <c r="F17" s="8">
        <f t="shared" si="3"/>
        <v>0.67985700000000004</v>
      </c>
      <c r="G17" s="13">
        <f t="shared" si="0"/>
        <v>6.2700000000000005</v>
      </c>
      <c r="H17" s="8">
        <f t="shared" si="14"/>
        <v>0.96146298987428536</v>
      </c>
      <c r="I17" s="19">
        <f>(C17-B17)*24</f>
        <v>55.866666666639503</v>
      </c>
      <c r="J17" s="12">
        <f t="shared" si="5"/>
        <v>1.6666666666666666E-2</v>
      </c>
      <c r="K17" s="13">
        <f>1-EXP(-$AE$3*I17)</f>
        <v>0.46777084931043467</v>
      </c>
      <c r="L17" s="8">
        <f t="shared" si="6"/>
        <v>1.3954977604733356E-4</v>
      </c>
      <c r="M17" s="13">
        <f>G17/((1+K17))</f>
        <v>4.2717839797306745</v>
      </c>
      <c r="N17" s="8">
        <f t="shared" si="1"/>
        <v>0.65505103189395075</v>
      </c>
      <c r="O17" s="13">
        <f>M17*K17</f>
        <v>1.9982160202693262</v>
      </c>
      <c r="P17" s="8">
        <f t="shared" si="2"/>
        <v>0.30641435741074641</v>
      </c>
      <c r="Q17" s="13">
        <f t="shared" si="7"/>
        <v>6.2700000000000005</v>
      </c>
      <c r="R17" s="13">
        <v>0.79999999999999982</v>
      </c>
      <c r="S17" s="8">
        <v>1.4142135623731E-4</v>
      </c>
      <c r="T17" s="13">
        <f>M17/R17</f>
        <v>5.339729974663344</v>
      </c>
      <c r="U17" s="8">
        <f t="shared" si="8"/>
        <v>0.81881433396067205</v>
      </c>
      <c r="V17" s="13">
        <f>SUM($T$2:T17)</f>
        <v>1492.598267373048</v>
      </c>
      <c r="W17" s="8">
        <f>SQRT((U17^2)+(U16^2)+(U15^2)+(U14^2)+(U13^2)+(U12^2)+(U11^2)+(U10^2)+(U9^2)+(U8^2)+(U7^2)+(U6^2)+(U5^2)+(U4^2)+(U3^2)+(U2^2))</f>
        <v>7.2929101081075558</v>
      </c>
      <c r="X17" s="13">
        <f t="shared" si="9"/>
        <v>7.1196399662177903E-2</v>
      </c>
      <c r="Y17" s="8">
        <f>X17*SQRT(((N17/M17)^2))</f>
        <v>1.0917517198232512E-2</v>
      </c>
      <c r="Z17" s="8">
        <f>Y17^2</f>
        <v>1.1919218177370268E-4</v>
      </c>
      <c r="AA17" s="13">
        <f>(C17-$AE$6)*24</f>
        <v>249.86666666669771</v>
      </c>
      <c r="AB17" s="20">
        <f t="shared" si="12"/>
        <v>0.9993137408810302</v>
      </c>
      <c r="AC17" s="13">
        <f t="shared" si="13"/>
        <v>7.1245292393766799E-2</v>
      </c>
    </row>
    <row r="18" spans="1:29" x14ac:dyDescent="0.25">
      <c r="A18" s="31" t="s">
        <v>32</v>
      </c>
      <c r="B18" s="28">
        <v>43320.583333333336</v>
      </c>
      <c r="C18" s="17">
        <v>43322.934027777781</v>
      </c>
      <c r="D18" s="18">
        <v>11.94</v>
      </c>
      <c r="E18" s="7">
        <v>5.35</v>
      </c>
      <c r="F18" s="8">
        <f>D18*(E18/100)</f>
        <v>0.63878999999999997</v>
      </c>
      <c r="G18" s="13">
        <f t="shared" si="0"/>
        <v>4.6399999999999997</v>
      </c>
      <c r="H18" s="8">
        <f>SQRT((F18^2)+(F$17^2))</f>
        <v>0.93287630720744541</v>
      </c>
      <c r="I18" s="19">
        <f t="shared" si="4"/>
        <v>56.416666666686069</v>
      </c>
      <c r="J18" s="12">
        <f t="shared" si="5"/>
        <v>1.6666666666666666E-2</v>
      </c>
      <c r="K18" s="13">
        <f>1-EXP(-$AE$3*I18)</f>
        <v>0.47106520792325113</v>
      </c>
      <c r="L18" s="8">
        <f t="shared" si="6"/>
        <v>1.3916254296103076E-4</v>
      </c>
      <c r="M18" s="13">
        <f>G18/((1+K18))</f>
        <v>3.1541769698641935</v>
      </c>
      <c r="N18" s="8">
        <f t="shared" si="1"/>
        <v>0.63415089233551425</v>
      </c>
      <c r="O18" s="13">
        <f>M18*K18</f>
        <v>1.4858230301358064</v>
      </c>
      <c r="P18" s="8">
        <f t="shared" si="2"/>
        <v>0.29872674444029806</v>
      </c>
      <c r="Q18" s="13">
        <f t="shared" si="7"/>
        <v>4.6399999999999997</v>
      </c>
      <c r="R18" s="13">
        <v>0.78890000000000082</v>
      </c>
      <c r="S18" s="8">
        <v>1.4142135623731E-4</v>
      </c>
      <c r="T18" s="13">
        <f>M18/R18</f>
        <v>3.9981961843886298</v>
      </c>
      <c r="U18" s="8">
        <f t="shared" si="8"/>
        <v>0.80384224161977413</v>
      </c>
      <c r="V18" s="13">
        <f>SUM($T$2:T18)</f>
        <v>1496.5964635574367</v>
      </c>
      <c r="W18" s="8">
        <f>SQRT((U18^2)+(U17^2)+(U16^2)+(U15^2)+(U14^2)+(U13^2)+(U12^2)+(U11^2)+(U10^2)+(U9^2)+(U8^2)+(U7^2)+(U6^2)+(U5^2)+(U4^2)+(U3^2)+(U2^2))</f>
        <v>7.3370770879383338</v>
      </c>
      <c r="X18" s="13">
        <f t="shared" si="9"/>
        <v>5.2569616164403227E-2</v>
      </c>
      <c r="Y18" s="8">
        <f t="shared" ref="Y18:Y22" si="15">X18*SQRT(((N18/M18)^2))</f>
        <v>1.0569181538925238E-2</v>
      </c>
      <c r="Z18" s="8">
        <f t="shared" ref="Z18:Z22" si="16">Y18^2</f>
        <v>1.1170759840275807E-4</v>
      </c>
      <c r="AA18" s="13">
        <f>(C18-$AE$6)*24</f>
        <v>250.41666666674428</v>
      </c>
      <c r="AB18" s="20">
        <f t="shared" si="12"/>
        <v>0.99931223082491072</v>
      </c>
      <c r="AC18" s="13">
        <f t="shared" si="13"/>
        <v>5.2605796809880069E-2</v>
      </c>
    </row>
    <row r="19" spans="1:29" x14ac:dyDescent="0.25">
      <c r="A19" s="31" t="s">
        <v>33</v>
      </c>
      <c r="B19" s="28">
        <v>43320.583333333336</v>
      </c>
      <c r="C19" s="17">
        <v>43322.956944444442</v>
      </c>
      <c r="D19" s="18">
        <v>10.37</v>
      </c>
      <c r="E19" s="7">
        <v>5.74</v>
      </c>
      <c r="F19" s="8">
        <f t="shared" si="3"/>
        <v>0.59523799999999993</v>
      </c>
      <c r="G19" s="13">
        <f t="shared" si="0"/>
        <v>3.0699999999999994</v>
      </c>
      <c r="H19" s="8">
        <f>SQRT((F19^2)+(F$17^2))</f>
        <v>0.90361154103574837</v>
      </c>
      <c r="I19" s="19">
        <f t="shared" si="4"/>
        <v>56.966666666558012</v>
      </c>
      <c r="J19" s="12">
        <f t="shared" si="5"/>
        <v>1.6666666666666666E-2</v>
      </c>
      <c r="K19" s="13">
        <f>1-EXP(-$AE$3*I19)</f>
        <v>0.47433917532072867</v>
      </c>
      <c r="L19" s="8">
        <f t="shared" si="6"/>
        <v>1.3877682133459139E-4</v>
      </c>
      <c r="M19" s="13">
        <f>G19/((1+K19))</f>
        <v>2.0822888324405744</v>
      </c>
      <c r="N19" s="8">
        <f t="shared" si="1"/>
        <v>0.61289288283047683</v>
      </c>
      <c r="O19" s="13">
        <f>M19*K19</f>
        <v>0.98771116755942501</v>
      </c>
      <c r="P19" s="8">
        <f t="shared" si="2"/>
        <v>0.29071924822083095</v>
      </c>
      <c r="Q19" s="13">
        <f t="shared" si="7"/>
        <v>3.0699999999999994</v>
      </c>
      <c r="R19" s="13">
        <v>0.8006000000000002</v>
      </c>
      <c r="S19" s="8">
        <v>1.4142135623731E-4</v>
      </c>
      <c r="T19" s="13">
        <f>M19/R19</f>
        <v>2.6009103577823804</v>
      </c>
      <c r="U19" s="8">
        <f t="shared" si="8"/>
        <v>0.76554208494168918</v>
      </c>
      <c r="V19" s="13">
        <f>SUM($T$2:T19)</f>
        <v>1499.197373915219</v>
      </c>
      <c r="W19" s="8">
        <f>SQRT((U19^2)+(U18^2)+(U17^2)+(U16^2)+(U15^2)+(U14^2)+(U13^2)+(U12^2)+(U11^2)+(U10^2)+(U9^2)+(U8^2)+(U7^2)+(U6^2)+(U5^2)+(U4^2)+(U3^2)+(U2^2))</f>
        <v>7.3769068638668962</v>
      </c>
      <c r="X19" s="13">
        <f t="shared" si="9"/>
        <v>3.4704813874009574E-2</v>
      </c>
      <c r="Y19" s="8">
        <f t="shared" si="15"/>
        <v>1.0214881380507947E-2</v>
      </c>
      <c r="Z19" s="8">
        <f t="shared" si="16"/>
        <v>1.0434380161784793E-4</v>
      </c>
      <c r="AA19" s="13">
        <f>(C19-$AE$6)*24</f>
        <v>250.96666666661622</v>
      </c>
      <c r="AB19" s="20">
        <f t="shared" si="12"/>
        <v>0.99931072077107352</v>
      </c>
      <c r="AC19" s="13">
        <f t="shared" si="13"/>
        <v>3.4728751681189961E-2</v>
      </c>
    </row>
    <row r="20" spans="1:29" x14ac:dyDescent="0.25">
      <c r="A20" s="31" t="s">
        <v>34</v>
      </c>
      <c r="B20" s="28">
        <v>43320.583333333336</v>
      </c>
      <c r="C20" s="17">
        <v>43322.979861111111</v>
      </c>
      <c r="D20" s="18">
        <v>10.91</v>
      </c>
      <c r="E20" s="7">
        <v>5.59</v>
      </c>
      <c r="F20" s="8">
        <f t="shared" si="3"/>
        <v>0.60986899999999999</v>
      </c>
      <c r="G20" s="13">
        <f t="shared" si="0"/>
        <v>3.6100000000000003</v>
      </c>
      <c r="H20" s="8">
        <f t="shared" ref="H20:H22" si="17">SQRT((F20^2)+(F$17^2))</f>
        <v>0.91331579292706866</v>
      </c>
      <c r="I20" s="19">
        <f t="shared" si="4"/>
        <v>57.516666666604578</v>
      </c>
      <c r="J20" s="12">
        <f t="shared" si="5"/>
        <v>1.6666666666666666E-2</v>
      </c>
      <c r="K20" s="13">
        <f>1-EXP(-$AE$3*I20)</f>
        <v>0.4775928777212054</v>
      </c>
      <c r="L20" s="8">
        <f t="shared" si="6"/>
        <v>1.3839260438183742E-4</v>
      </c>
      <c r="M20" s="13">
        <f>G20/((1+K20))</f>
        <v>2.4431628322190253</v>
      </c>
      <c r="N20" s="8">
        <f t="shared" si="1"/>
        <v>0.61811098697215838</v>
      </c>
      <c r="O20" s="13">
        <f>M20*K20</f>
        <v>1.1668371677809748</v>
      </c>
      <c r="P20" s="8">
        <f t="shared" si="2"/>
        <v>0.29520559865068896</v>
      </c>
      <c r="Q20" s="13">
        <f t="shared" si="7"/>
        <v>3.6100000000000003</v>
      </c>
      <c r="R20" s="13">
        <v>0.79170000000000051</v>
      </c>
      <c r="S20" s="8">
        <v>1.4142135623731E-4</v>
      </c>
      <c r="T20" s="13">
        <f>M20/R20</f>
        <v>3.0859704840457542</v>
      </c>
      <c r="U20" s="8">
        <f t="shared" si="8"/>
        <v>0.78073909440669498</v>
      </c>
      <c r="V20" s="13">
        <f>SUM($T$2:T20)</f>
        <v>1502.2833443992647</v>
      </c>
      <c r="W20" s="8">
        <f>SQRT((U20^2)+(U19^2)+(U18^2)+(U17^2)+(U16^2)+(U15^2)+(U14^2)+(U13^2)+(U12^2)+(U11^2)+(U10^2)+(U9^2)+(U8^2)+(U7^2)+(U6^2)+(U5^2)+(U4^2)+(U3^2)+(U2^2))</f>
        <v>7.4181067943041583</v>
      </c>
      <c r="X20" s="13">
        <f t="shared" si="9"/>
        <v>4.0719380536983756E-2</v>
      </c>
      <c r="Y20" s="8">
        <f t="shared" si="15"/>
        <v>1.0301849782869308E-2</v>
      </c>
      <c r="Z20" s="8">
        <f t="shared" si="16"/>
        <v>1.061281089488044E-4</v>
      </c>
      <c r="AA20" s="13">
        <f>(C20-$AE$6)*24</f>
        <v>251.51666666666279</v>
      </c>
      <c r="AB20" s="20">
        <f t="shared" si="12"/>
        <v>0.99930921071951762</v>
      </c>
      <c r="AC20" s="13">
        <f t="shared" si="13"/>
        <v>4.0747528492872782E-2</v>
      </c>
    </row>
    <row r="21" spans="1:29" x14ac:dyDescent="0.25">
      <c r="A21" s="31" t="s">
        <v>35</v>
      </c>
      <c r="B21" s="28">
        <v>43320.583333333336</v>
      </c>
      <c r="C21" s="17">
        <v>43323.00277777778</v>
      </c>
      <c r="D21" s="18">
        <v>10.09</v>
      </c>
      <c r="E21" s="7">
        <v>5.81</v>
      </c>
      <c r="F21" s="8">
        <f t="shared" si="3"/>
        <v>0.586229</v>
      </c>
      <c r="G21" s="13">
        <f t="shared" si="0"/>
        <v>2.79</v>
      </c>
      <c r="H21" s="8">
        <f t="shared" si="17"/>
        <v>0.89770261272316687</v>
      </c>
      <c r="I21" s="19">
        <f t="shared" si="4"/>
        <v>58.066666666651145</v>
      </c>
      <c r="J21" s="12">
        <f t="shared" si="5"/>
        <v>1.6666666666666666E-2</v>
      </c>
      <c r="K21" s="13">
        <f>1-EXP(-$AE$3*I21)</f>
        <v>0.48082644055865253</v>
      </c>
      <c r="L21" s="8">
        <f t="shared" si="6"/>
        <v>1.3800988534982234E-4</v>
      </c>
      <c r="M21" s="13">
        <f>G21/((1+K21))</f>
        <v>1.8840830522633376</v>
      </c>
      <c r="N21" s="8">
        <f t="shared" si="1"/>
        <v>0.60621754536371175</v>
      </c>
      <c r="O21" s="13">
        <f>M21*K21</f>
        <v>0.90591694773666231</v>
      </c>
      <c r="P21" s="8">
        <f t="shared" si="2"/>
        <v>0.29148554051888576</v>
      </c>
      <c r="Q21" s="13">
        <f t="shared" si="7"/>
        <v>2.79</v>
      </c>
      <c r="R21" s="13">
        <v>0.8230000000000004</v>
      </c>
      <c r="S21" s="8">
        <v>1.4142135623731E-4</v>
      </c>
      <c r="T21" s="13">
        <f>M21/R21</f>
        <v>2.2892868192750142</v>
      </c>
      <c r="U21" s="8">
        <f t="shared" si="8"/>
        <v>0.73659493537677057</v>
      </c>
      <c r="V21" s="13">
        <f>SUM($T$2:T21)</f>
        <v>1504.5726312185398</v>
      </c>
      <c r="W21" s="8">
        <f>SQRT((U21^2)+(U20^2)+(U19^2)+(U18^2)+(U17^2)+(U16^2)+(U15^2)+(U14^2)+(U13^2)+(U12^2)+(U11^2)+(U10^2)+(U9^2)+(U8^2)+(U7^2)+(U6^2)+(U5^2)+(U4^2)+(U3^2)+(U2^2))</f>
        <v>7.4545878833456793</v>
      </c>
      <c r="X21" s="13">
        <f t="shared" si="9"/>
        <v>3.1401384204388962E-2</v>
      </c>
      <c r="Y21" s="8">
        <f t="shared" si="15"/>
        <v>1.0103625756061864E-2</v>
      </c>
      <c r="Z21" s="8">
        <f t="shared" si="16"/>
        <v>1.0208325341855667E-4</v>
      </c>
      <c r="AA21" s="13">
        <f>(C21-$AE$6)*24</f>
        <v>252.06666666670935</v>
      </c>
      <c r="AB21" s="20">
        <f t="shared" si="12"/>
        <v>0.99930770067024355</v>
      </c>
      <c r="AC21" s="13">
        <f t="shared" si="13"/>
        <v>3.1423138422057399E-2</v>
      </c>
    </row>
    <row r="22" spans="1:29" ht="15.75" thickBot="1" x14ac:dyDescent="0.3">
      <c r="A22" s="32" t="s">
        <v>15</v>
      </c>
      <c r="B22" s="28">
        <v>43320.583333333336</v>
      </c>
      <c r="C22" s="17">
        <v>43323.025694444441</v>
      </c>
      <c r="D22" s="18">
        <v>7.3</v>
      </c>
      <c r="E22" s="7">
        <v>6.84</v>
      </c>
      <c r="F22" s="8">
        <f t="shared" si="3"/>
        <v>0.49931999999999999</v>
      </c>
      <c r="G22" s="13">
        <f t="shared" si="0"/>
        <v>0</v>
      </c>
      <c r="H22" s="8">
        <f t="shared" si="17"/>
        <v>0.84352000737919663</v>
      </c>
      <c r="I22" s="19">
        <f>(C22-B22)*24</f>
        <v>58.616666666523088</v>
      </c>
      <c r="J22" s="12">
        <f t="shared" si="5"/>
        <v>1.6666666666666666E-2</v>
      </c>
      <c r="K22" s="13">
        <f>1-EXP(-$AE$3*I22)</f>
        <v>0.48403998849065677</v>
      </c>
      <c r="L22" s="8">
        <f t="shared" si="6"/>
        <v>1.3762865751829468E-4</v>
      </c>
      <c r="M22" s="13">
        <f>G22/((1+K22))</f>
        <v>0</v>
      </c>
      <c r="N22" s="8" t="e">
        <f t="shared" si="1"/>
        <v>#DIV/0!</v>
      </c>
      <c r="O22" s="13">
        <f>M22*K22</f>
        <v>0</v>
      </c>
      <c r="P22" s="8" t="e">
        <f t="shared" si="2"/>
        <v>#DIV/0!</v>
      </c>
      <c r="Q22" s="13">
        <f t="shared" si="7"/>
        <v>0</v>
      </c>
      <c r="R22" s="13"/>
      <c r="S22" s="8">
        <v>1.4142135623731E-4</v>
      </c>
      <c r="T22" s="13"/>
      <c r="U22" s="8" t="e">
        <f t="shared" si="8"/>
        <v>#DIV/0!</v>
      </c>
      <c r="V22" s="13"/>
      <c r="W22" s="13"/>
      <c r="X22" s="13"/>
      <c r="Y22" s="8" t="e">
        <f t="shared" si="15"/>
        <v>#DIV/0!</v>
      </c>
      <c r="Z22" s="8" t="e">
        <f t="shared" si="16"/>
        <v>#DIV/0!</v>
      </c>
      <c r="AA22" s="13"/>
      <c r="AB22" s="13"/>
      <c r="AC22" s="13"/>
    </row>
    <row r="23" spans="1:29" x14ac:dyDescent="0.25">
      <c r="Y23" s="14" t="s">
        <v>166</v>
      </c>
    </row>
    <row r="24" spans="1:29" x14ac:dyDescent="0.25">
      <c r="W24" s="15" t="s">
        <v>167</v>
      </c>
      <c r="X24" s="16">
        <f>SUM(X2:X21)</f>
        <v>20.113765343512537</v>
      </c>
      <c r="Y24" s="15">
        <f>SQRT(SUM(Z2:Z21))</f>
        <v>9.9142293651758404E-2</v>
      </c>
      <c r="AC24">
        <f>SUM(AC2:AC21)</f>
        <v>20.127335672787638</v>
      </c>
    </row>
    <row r="27" spans="1:29" x14ac:dyDescent="0.25">
      <c r="G2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CT19E</vt:lpstr>
      <vt:lpstr>CT20E</vt:lpstr>
      <vt:lpstr>CT21E</vt:lpstr>
      <vt:lpstr>CT22E</vt:lpstr>
      <vt:lpstr>CT23E</vt:lpstr>
      <vt:lpstr>CT24E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2021-06-16T15:54:32Z</dcterms:modified>
</cp:coreProperties>
</file>